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E_2" sheetId="1" state="visible" r:id="rId2"/>
  </sheets>
  <definedNames>
    <definedName function="false" hidden="false" localSheetId="0" name="_xlnm.Print_Area" vbProcedure="false">LOTE_2!$A$1:$H$161</definedName>
    <definedName function="false" hidden="false" name="__xlfn_BAHTTEXT" vbProcedure="false">"""""""NA()"""""""</definedName>
    <definedName function="false" hidden="false" localSheetId="0" name="Excel_BuiltIn_Print_Area" vbProcedure="false">LOTE_2!$A$1:$G$344</definedName>
    <definedName function="false" hidden="false" localSheetId="0" name="Excel_BuiltIn__FilterDatabase" vbProcedure="false">LOTE_2!$A$22:$G$22</definedName>
    <definedName function="false" hidden="false" localSheetId="0" name="Print_Area_0" vbProcedure="false">LOTE_2!$A$1:$H$162</definedName>
    <definedName function="false" hidden="false" localSheetId="0" name="Print_Titles_0" vbProcedure="false">LOTE_2!$1:$22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<sst xmlns="http://schemas.openxmlformats.org/spreadsheetml/2006/main" count="525" uniqueCount="386">
  <si>
    <t xml:space="preserve">MANUTENÇÃO PREDIAL PREVENTIVA E CORRETIVA DOS NÚCLEO DA DEFENSORIAS PÚBLICAS DO ESTADO DO MARANHÃO
LOTE 02</t>
  </si>
  <si>
    <t xml:space="preserve">LOCAL</t>
  </si>
  <si>
    <t xml:space="preserve">DEFENSORIA PÚBLICA REGIONAL DE ARARI</t>
  </si>
  <si>
    <t xml:space="preserve">ENDEREÇO</t>
  </si>
  <si>
    <t xml:space="preserve">Rua Ibrahim Ferreira, nº 22, Centro, Arari - MA</t>
  </si>
  <si>
    <t xml:space="preserve">DEFENSORIA PÚBLICA REGIONAL DE BOM JARDIM</t>
  </si>
  <si>
    <t xml:space="preserve">Rua Nova Brasília, 246 Alto Praxedes - Bom Jardim - MA</t>
  </si>
  <si>
    <t xml:space="preserve">DEFENSORIA PÚBLICA REGIONAL DE CHAPADINHA</t>
  </si>
  <si>
    <t xml:space="preserve">Travessa Sebastião Barbosa, nº 10, Centro. Chapadinha - MA</t>
  </si>
  <si>
    <t xml:space="preserve">DEFENSORIA PÚBLICA REGIONAL DE ITAPECURU</t>
  </si>
  <si>
    <t xml:space="preserve">Rua Coelho Neto, nº 352 - Centro - Itapecuru-Mirim - MA</t>
  </si>
  <si>
    <t xml:space="preserve">DEFENSORIA PÚBLICA REGIONAL DE SANTA INÊS</t>
  </si>
  <si>
    <t xml:space="preserve">Rua Waddy Haddad, nº 85, Centro - Santa Inês - MA.</t>
  </si>
  <si>
    <t xml:space="preserve">DEFENSORIA PÚBLICA REGIONAL DE SANTA QUITÉRIA</t>
  </si>
  <si>
    <t xml:space="preserve">Avenida Hermelinda Pedrosa, Nº 46, Centro, Santa Quitéria do Maranhão</t>
  </si>
  <si>
    <t xml:space="preserve">DEFENSORIA PÚBLICA REGIONAL DE VARGEM GRANDE</t>
  </si>
  <si>
    <t xml:space="preserve">Rua Sebastião de Abreu, nº 645 - Centro - Vargem Grande - MA</t>
  </si>
  <si>
    <t xml:space="preserve">DEFENSORIA PÚBLICA REGIONAL DE VIANA</t>
  </si>
  <si>
    <t xml:space="preserve">Rua Prof° Antônio Lopes, 262, Bairro Matriz.</t>
  </si>
  <si>
    <t xml:space="preserve">DEFENSORIA PÚBLICA REGIONAL DE ZÉ DOCA</t>
  </si>
  <si>
    <t xml:space="preserve">Av. Cel Stanley Batista, nº 638 - Centro.</t>
  </si>
  <si>
    <t xml:space="preserve">SINAPI DEZ/2021 - ORSE DEZ/2021 – SBC-  MARANHÃO SBC - 02/2022 - SLS - São Luís - CONSULTA DE MERCADO FEV/2022</t>
  </si>
  <si>
    <t xml:space="preserve">ITEM</t>
  </si>
  <si>
    <t xml:space="preserve">CÓD. SINAPI/CONS. MERCADO</t>
  </si>
  <si>
    <t xml:space="preserve">DISCRIMINAÇÃO</t>
  </si>
  <si>
    <t xml:space="preserve">UN</t>
  </si>
  <si>
    <t xml:space="preserve">QUANT. MÁX.</t>
  </si>
  <si>
    <t xml:space="preserve">P. UNIT.</t>
  </si>
  <si>
    <t xml:space="preserve">TOTAL</t>
  </si>
  <si>
    <t xml:space="preserve">VALOR COM BDI</t>
  </si>
  <si>
    <t xml:space="preserve">SUB TOTAL (com BDI %)</t>
  </si>
  <si>
    <t xml:space="preserve">1.0</t>
  </si>
  <si>
    <t xml:space="preserve">SERVIÇOS PRELIMINARES</t>
  </si>
  <si>
    <t xml:space="preserve">1.1</t>
  </si>
  <si>
    <t xml:space="preserve">C.M.</t>
  </si>
  <si>
    <t xml:space="preserve">TAXA DO CREA PARA OBRAS ACIMA R$ 15.000</t>
  </si>
  <si>
    <t xml:space="preserve">2.0</t>
  </si>
  <si>
    <t xml:space="preserve">PISOS E PAREDES</t>
  </si>
  <si>
    <t xml:space="preserve">2.1</t>
  </si>
  <si>
    <t xml:space="preserve">PISO</t>
  </si>
  <si>
    <t xml:space="preserve">2.1.1</t>
  </si>
  <si>
    <t xml:space="preserve">74245/001</t>
  </si>
  <si>
    <t xml:space="preserve">PINTURA ACRILICA EM PISO CIMENTADO DUAS DEMAOS NA COR CINZA</t>
  </si>
  <si>
    <t xml:space="preserve">M2</t>
  </si>
  <si>
    <t xml:space="preserve">2.1.2</t>
  </si>
  <si>
    <t xml:space="preserve">COMP. PRÓPRIA (DPE-MA)</t>
  </si>
  <si>
    <t xml:space="preserve">REJUNTAMENTO DE PISO CERÂMICO NA COR PRETA</t>
  </si>
  <si>
    <t xml:space="preserve">2.1.3</t>
  </si>
  <si>
    <t xml:space="preserve">RETIRADA DE REVESTIMENTO CERÂMICO 30X30 CM</t>
  </si>
  <si>
    <t xml:space="preserve">2.1.4</t>
  </si>
  <si>
    <t xml:space="preserve">87247</t>
  </si>
  <si>
    <t xml:space="preserve">REVESTIMENTO CERÂMICO PARA PISO COM PLACAS TIPO GRÊS DE DIMENSÕES 35X35 CM APLICADA EM AMBIENTES DE ÁREA ENTRE 5 M2 E 10 M2. AF_06/2014</t>
  </si>
  <si>
    <t xml:space="preserve">2.1.5</t>
  </si>
  <si>
    <t xml:space="preserve">02180/ORSE</t>
  </si>
  <si>
    <t xml:space="preserve"> REGULARIZAÇÃO DE BASE PARA REVEST. DE PISO COM ARGAMASSA TRAÇO 1:4, ESPESSURA MÉDIA =2,5CM</t>
  </si>
  <si>
    <t xml:space="preserve">2.1.6</t>
  </si>
  <si>
    <t xml:space="preserve">00018/ORSE</t>
  </si>
  <si>
    <t xml:space="preserve"> DEMOLIÇÃO DE PISO CERÂMICO OU LADRILHO</t>
  </si>
  <si>
    <t xml:space="preserve">2.1.7</t>
  </si>
  <si>
    <t xml:space="preserve">73616</t>
  </si>
  <si>
    <t xml:space="preserve">DEMOLICAO DE CONCRETO SIMPLES</t>
  </si>
  <si>
    <t xml:space="preserve">M3</t>
  </si>
  <si>
    <t xml:space="preserve">2.1.8</t>
  </si>
  <si>
    <t xml:space="preserve">DEMOLICAO MANUAL DE PISO / CONTRAPISO</t>
  </si>
  <si>
    <t xml:space="preserve">2.1.9</t>
  </si>
  <si>
    <t xml:space="preserve">88648</t>
  </si>
  <si>
    <t xml:space="preserve">RODAPÉ CERÂMICO DE 7CM DE ALTURA COM PLACAS TIPO ESMALTADA EXTRA DE DIMENSÕES 35X35CM. AF_06/2014</t>
  </si>
  <si>
    <t xml:space="preserve">M</t>
  </si>
  <si>
    <t xml:space="preserve">2.1.10</t>
  </si>
  <si>
    <t xml:space="preserve">02266/ORSE</t>
  </si>
  <si>
    <t xml:space="preserve"> SOLEIRA EM GRANITO CINZA ANDORINHA, L= 15 CM, E= 2CM</t>
  </si>
  <si>
    <t xml:space="preserve">2.1.11</t>
  </si>
  <si>
    <t xml:space="preserve">90444</t>
  </si>
  <si>
    <r>
      <rPr>
        <sz val="12"/>
        <color rgb="FF000000"/>
        <rFont val="Arial"/>
        <family val="2"/>
        <charset val="1"/>
      </rPr>
      <t xml:space="preserve">RASGO EM CONTRAPISO PARA RAMAIS/ DISTRIBUIÇÃO COM DIÂMETROS MAIORES QUE 40 MM E MENORES QUE 75 MM.</t>
    </r>
    <r>
      <rPr>
        <sz val="12"/>
        <color rgb="FF000000"/>
        <rFont val="Courier New"/>
        <family val="3"/>
        <charset val="1"/>
      </rPr>
      <t xml:space="preserve">AF_05/2015</t>
    </r>
  </si>
  <si>
    <t xml:space="preserve">2.2</t>
  </si>
  <si>
    <t xml:space="preserve">PAREDES</t>
  </si>
  <si>
    <t xml:space="preserve">2.2.1</t>
  </si>
  <si>
    <t xml:space="preserve">72215</t>
  </si>
  <si>
    <t xml:space="preserve">DEMOLICAO DE ALVENARIA DE ELEMENTOS CERAMICOS VAZADOS</t>
  </si>
  <si>
    <t xml:space="preserve">2.2.2</t>
  </si>
  <si>
    <t xml:space="preserve">73802/001</t>
  </si>
  <si>
    <t xml:space="preserve">DEMOLICAO DE REVESTIMENTO DE ARGAMASSA DE CAL E AREIA</t>
  </si>
  <si>
    <t xml:space="preserve">2.2.3</t>
  </si>
  <si>
    <t xml:space="preserve">87489</t>
  </si>
  <si>
    <t xml:space="preserve">ALVENARIA DE VEDAÇÃO DE BLOCOS CERÂMICOS FURADOS NA VERTICAL DE 9X19X39CM (ESPESSURA 9CM) DE PAREDES COM ÁREA LÍQUIDA MAIOR OU IGUAL A 6M² COM VÃOS E ARGAMASSA DE ASSENTAMENTO COM PREPARO EM BETONEIRA</t>
  </si>
  <si>
    <t xml:space="preserve">2.2.4</t>
  </si>
  <si>
    <t xml:space="preserve">87878</t>
  </si>
  <si>
    <t xml:space="preserve">CHAPISCO APLICADO TANTO EM PILARES E VIGAS DE CONCRETO COMO EM ALVENARIAS DE PAREDES INTERNAS, COM COLHER DE PEDREIRO. ARGAMASSA TRAÇO 1:3IAS DE PAREDES INTERNAS, COM COLHER DE PEDREIRO. ARGAMASSA TRAÇO 1:3</t>
  </si>
  <si>
    <t xml:space="preserve">2.2.5</t>
  </si>
  <si>
    <t xml:space="preserve">87530</t>
  </si>
  <si>
    <t xml:space="preserve">MASSA ÚNICA, PARA RECEBIMENTO DE PINTURA, EM ARGAMASSA TRAÇO 1:2:8,PREPARO MECÂNICO COM BETONEIRA 400L, APLICADA MANUALMENTE EM FACES INTERNAS DE PAREDES DE AMBIENTES COM ÁREA MAIOR QUE 10M2, ESPESSURA DE 20MM, COM EXECUÇÃO DE TALISCAS</t>
  </si>
  <si>
    <t xml:space="preserve">2.2.6</t>
  </si>
  <si>
    <t xml:space="preserve">88485</t>
  </si>
  <si>
    <t xml:space="preserve">APLICAÇÃO DE FUNDO SELADOR ACRÍLICO EM PAREDES, UMA DEMÃO. AF_06/2014</t>
  </si>
  <si>
    <t xml:space="preserve">2.2.7</t>
  </si>
  <si>
    <t xml:space="preserve">88497</t>
  </si>
  <si>
    <t xml:space="preserve">APLICAÇÃO E LIXAMENTO DE MASSA LATÉX EM PAREDES, DUAS DEMÃOS</t>
  </si>
  <si>
    <t xml:space="preserve">2.2.8</t>
  </si>
  <si>
    <t xml:space="preserve">88487</t>
  </si>
  <si>
    <t xml:space="preserve">APLICAÇÃO MANUAL DE PINTURA COM TINTA LÁTEX PVA EM PAREDES, DUAS DEMÃOS</t>
  </si>
  <si>
    <t xml:space="preserve">2.2.9</t>
  </si>
  <si>
    <t xml:space="preserve">08624/ORSE</t>
  </si>
  <si>
    <t xml:space="preserve"> EMASSAMENTO DE SUPERFÍCIE, COM APLICAÇÃO DE 02 DEMÃOS DE MASSA ACRÍLICA, LIXAMENTO E RETOQUE</t>
  </si>
  <si>
    <t xml:space="preserve">2.2.10</t>
  </si>
  <si>
    <t xml:space="preserve">88489</t>
  </si>
  <si>
    <t xml:space="preserve">APLICAÇÃO MANUAL DE PINTURA COM TINTA LÁTEX ACRÍLICA EM PAREDES, DUAS DEMÃOS</t>
  </si>
  <si>
    <t xml:space="preserve">2.2.11</t>
  </si>
  <si>
    <t xml:space="preserve">79334/001</t>
  </si>
  <si>
    <t xml:space="preserve">PINTURA A BASE DE CAL E FIXADOR A BASE DE COLA, DUAS DEMAOS</t>
  </si>
  <si>
    <t xml:space="preserve">2.2.12</t>
  </si>
  <si>
    <t xml:space="preserve">RETIRADA DE REVESTIMENTO CERÂMICO 45X45 CM</t>
  </si>
  <si>
    <t xml:space="preserve">2.2.13</t>
  </si>
  <si>
    <t xml:space="preserve">87273</t>
  </si>
  <si>
    <t xml:space="preserve">REVESTIMENTO CERÂMICO PARA PAREDES INTERNAS COM PLACAS TIPO GRÊS OU SEMI-GRÊS DE DIMENSÕES 33X45 CM APLICADAS EM AMBIENTES DE ÁREA MAIOR QUE 5 M² NA ALTURA INTEIRA DAS PAREDES</t>
  </si>
  <si>
    <t xml:space="preserve">2.2.14</t>
  </si>
  <si>
    <t xml:space="preserve">90443</t>
  </si>
  <si>
    <t xml:space="preserve">RASGO EM ALVENARIA PARA RAMAIS/ DISTRIBUIÇÃO COM DIAMETROS MENORES OU IGUAIS A 40 MM</t>
  </si>
  <si>
    <t xml:space="preserve">3.0</t>
  </si>
  <si>
    <t xml:space="preserve">TETO</t>
  </si>
  <si>
    <t xml:space="preserve">3.1</t>
  </si>
  <si>
    <t xml:space="preserve">3.1.1</t>
  </si>
  <si>
    <t xml:space="preserve">ORSE/0012</t>
  </si>
  <si>
    <t xml:space="preserve">DEMOLIÇÃO DE FORRO </t>
  </si>
  <si>
    <t xml:space="preserve">3.1.2</t>
  </si>
  <si>
    <t xml:space="preserve">01954/ORSE</t>
  </si>
  <si>
    <t xml:space="preserve">FORRO DE GESSO, EM PLACAS 60X60 CM, INCLUSIVE MADEIRAMENTO EM RIPÃO 3,5 CMX 5,5CM</t>
  </si>
  <si>
    <t xml:space="preserve">3.1.3</t>
  </si>
  <si>
    <t xml:space="preserve">88496</t>
  </si>
  <si>
    <t xml:space="preserve">APLICAÇÃO E LIXAMENTO DE MASSA LÁTEX EM TETO, DUAS DEMÃOS. AF_06/2014</t>
  </si>
  <si>
    <t xml:space="preserve">3.1.4</t>
  </si>
  <si>
    <t xml:space="preserve">88486</t>
  </si>
  <si>
    <t xml:space="preserve">APLICAÇÃO MANUAL DE PINTURA COM TINTA LÁTEX PVA EM TETO, DUAS DEMÃOS.</t>
  </si>
  <si>
    <t xml:space="preserve">3.1.5</t>
  </si>
  <si>
    <t xml:space="preserve">72238</t>
  </si>
  <si>
    <t xml:space="preserve">RETIRADA DE FORRO EM REGUAS DE PVC, INCLUSIVE RETIRADA DE PERFIS</t>
  </si>
  <si>
    <t xml:space="preserve">3.1.6</t>
  </si>
  <si>
    <t xml:space="preserve">C.M</t>
  </si>
  <si>
    <t xml:space="preserve">FORRO DE PVC METABIL OU SIMILAR, PLACAS NA COR BRANCA, APLICADO( INCLUSO PERFIS DE FIXAÇÃO)</t>
  </si>
  <si>
    <t xml:space="preserve">3.1.7</t>
  </si>
  <si>
    <t xml:space="preserve">74065/003</t>
  </si>
  <si>
    <t xml:space="preserve">PINTURA ESMALTE SINTÉTICO PARA MADEIRA, DUAS DEMÃO SOBRE FUNDO NIVELADOR BRANCO</t>
  </si>
  <si>
    <t xml:space="preserve">3.1.8</t>
  </si>
  <si>
    <t xml:space="preserve">74133/002</t>
  </si>
  <si>
    <t xml:space="preserve">EMASSAMENTO COM MASSA A OLEO, DUAS DEMAOS</t>
  </si>
  <si>
    <t xml:space="preserve">4.0</t>
  </si>
  <si>
    <t xml:space="preserve">ESQUADRIAS</t>
  </si>
  <si>
    <t xml:space="preserve">4.1</t>
  </si>
  <si>
    <t xml:space="preserve">ESQUADRIAS EM MADEIRA</t>
  </si>
  <si>
    <t xml:space="preserve">4.1.1</t>
  </si>
  <si>
    <t xml:space="preserve">90844</t>
  </si>
  <si>
    <t xml:space="preserve">KIT DE PORTA DE MADEIRA PARA PINTURA, SEMI-OCA (LEVE OU MÉDIA), PADRÃO MÉDIO, 90X210CM, ESPESSURA DE 3,5CM, ITENS INCLUSOS: DOBRADIÇAS, MONTAGEM E INSTALAÇÃO DO BATENTE, FECHADURA COM EXECUÇÃO DO FURO - FORNECIMENTO E INSTALAÇÃO. AF_08/2015</t>
  </si>
  <si>
    <t xml:space="preserve">4.1.2</t>
  </si>
  <si>
    <t xml:space="preserve">90848</t>
  </si>
  <si>
    <t xml:space="preserve">KIT DE PORTA DE MADEIRA PARA PINTURA, SEMI-OCA (LEVE OU MÉDIA), PADRÃO MÉDIO, 70X210CM, ESPESSURA DE 3,5CM, ITENS INCLUSOS: DOBRADIÇAS, MONTAGEM E INSTALAÇÃO DO BATENTE, FECHADURA COM EXECUÇÃO DO FURO - FORNECIMENTO E INSTALAÇÃO. AF_08/2015</t>
  </si>
  <si>
    <t xml:space="preserve">4.1.3</t>
  </si>
  <si>
    <t xml:space="preserve">90849</t>
  </si>
  <si>
    <t xml:space="preserve">KIT DE PORTA DE MADEIRA PARA PINTURA, SEMI-OCA (LEVE OU MÉDIA), PADRÃO MÉDIO, 80X210CM, ESPESSURA DE 3,5CM, ITENS INCLUSOS: DOBRADIÇAS, MONTAGEM E INSTALAÇÃO DO BATENTE, SEM FECHADURA - FORNECIMENTO E INSTALAÇÃO. AF_08/2015</t>
  </si>
  <si>
    <t xml:space="preserve">4.1.4</t>
  </si>
  <si>
    <t xml:space="preserve">84657</t>
  </si>
  <si>
    <t xml:space="preserve">FUNDO SINTETICO NIVELADOR BRANCO</t>
  </si>
  <si>
    <t xml:space="preserve">4.1.5</t>
  </si>
  <si>
    <t xml:space="preserve">4.1.6</t>
  </si>
  <si>
    <t xml:space="preserve">PINTURA ESMALTE BRILHANTE PARA MADEIRA, DUAS DEMAOS, SOBRE FUNDO NIVELADOR BRANCO</t>
  </si>
  <si>
    <t xml:space="preserve">4.1.7</t>
  </si>
  <si>
    <t xml:space="preserve">72142</t>
  </si>
  <si>
    <t xml:space="preserve">RETIRADA DE FOLHAS DE PORTA DE PASSAGEM OU JANELA</t>
  </si>
  <si>
    <t xml:space="preserve">4.1.8</t>
  </si>
  <si>
    <t xml:space="preserve">72144</t>
  </si>
  <si>
    <t xml:space="preserve">RECOLOCACAO DE FOLHAS DE PORTA DE PASSAGEM OU JANELA, CONSIDERANDO REAPROVEITAMENTO DO MATERIAL</t>
  </si>
  <si>
    <t xml:space="preserve">4.2</t>
  </si>
  <si>
    <t xml:space="preserve">ESQUADRIAS METÁLICAS</t>
  </si>
  <si>
    <t xml:space="preserve">4.2.1</t>
  </si>
  <si>
    <t xml:space="preserve">08040/ORSE</t>
  </si>
  <si>
    <t xml:space="preserve"> REMOÇÃO DE PINTURA A BASE ÓLEO OU ESMALTE, UTILIZANDO REMOVEDOR DE TINTA CORAL OU SIMILAR</t>
  </si>
  <si>
    <t xml:space="preserve">4.2.2</t>
  </si>
  <si>
    <t xml:space="preserve">6067</t>
  </si>
  <si>
    <t xml:space="preserve">PINTURA ESMALTE BRILHANTE (2 DEMAOS) SOBRE SUPERFICIE METALICA, INCLUSIVE PROTECAO COM ZARCAO (1 DEMAO)</t>
  </si>
  <si>
    <t xml:space="preserve">4.2.3</t>
  </si>
  <si>
    <t xml:space="preserve">MOLA HIDRÁULICA PARA PORTA DE VIDRO</t>
  </si>
  <si>
    <t xml:space="preserve">5.0</t>
  </si>
  <si>
    <t xml:space="preserve">INSTALAÇÕES E MATERIAIS ELÉTRICOS E TELEFÔNICOS</t>
  </si>
  <si>
    <t xml:space="preserve">5.1</t>
  </si>
  <si>
    <t xml:space="preserve">INSTALAÇÕES E MATERIAIS ELÉTRICOS</t>
  </si>
  <si>
    <t xml:space="preserve">5.1.1</t>
  </si>
  <si>
    <t xml:space="preserve">85416</t>
  </si>
  <si>
    <t xml:space="preserve">REMOCAO DE TOMADAS OU INTERRUPTORES ELETRICOS</t>
  </si>
  <si>
    <t xml:space="preserve">5.1.2</t>
  </si>
  <si>
    <t xml:space="preserve">85332</t>
  </si>
  <si>
    <t xml:space="preserve">RETIRADA DE APARELHOS DE ILUMINACAO C/ REAPROVEITAMENTO DE LAMPADAS</t>
  </si>
  <si>
    <t xml:space="preserve">5.1.3</t>
  </si>
  <si>
    <t xml:space="preserve">00555/ORSE</t>
  </si>
  <si>
    <t xml:space="preserve"> REATOR DE PARTIDA RÁPIDA P/ LÂMPADA FLUORESCENTE 2X20 W</t>
  </si>
  <si>
    <t xml:space="preserve">5.1.4</t>
  </si>
  <si>
    <t xml:space="preserve">00557ORSE</t>
  </si>
  <si>
    <t xml:space="preserve"> REATOR DE PARTIDA RÁPIDA P/ LÂMPADA FLUORESCENTE 2X40 W</t>
  </si>
  <si>
    <t xml:space="preserve">5.1.5</t>
  </si>
  <si>
    <t xml:space="preserve">LAMPADA FLUORESCENTE 40W - FORNECIMENTO E INSTALACAO</t>
  </si>
  <si>
    <t xml:space="preserve">5.1.6</t>
  </si>
  <si>
    <t xml:space="preserve">LAMPADA FLUORESCENTE 20W - FORNECIMENTO E INSTALACAO</t>
  </si>
  <si>
    <t xml:space="preserve">5.1.7</t>
  </si>
  <si>
    <t xml:space="preserve">INTERRUPTOR SIMPLES (1 MÓDULO), 10A/250V, INCLUINDO SUPORTE E PLACA FORNECIMENTO E INSTALAÇÃO</t>
  </si>
  <si>
    <t xml:space="preserve">5.1.8</t>
  </si>
  <si>
    <t xml:space="preserve">INTERRUPTOR SIMPLES (2 MÓDULOS), 10A/250V, INCLUINDO SUPORTE E PLACA FORNECIMENTO E INSTALAÇÃO</t>
  </si>
  <si>
    <t xml:space="preserve">5.1.9</t>
  </si>
  <si>
    <t xml:space="preserve">73953/002</t>
  </si>
  <si>
    <t xml:space="preserve">LUMINARIA TIPO CALHA, DE SOBREPOR, COM REATOR DE PARTIDA RAPIDA E LAMPADA FLUORESCENTE 2X20W, COMPLETA, FORNECIMENTO E INSTALACAO</t>
  </si>
  <si>
    <t xml:space="preserve">5.1.10</t>
  </si>
  <si>
    <t xml:space="preserve">73953/006</t>
  </si>
  <si>
    <t xml:space="preserve">LUMINARIA TIPO CALHA, DE SOBREPOR, COM REATOR DE PARTIDA RAPIDA E LAMPADA FLUORESCENTE 2X40W, COMPLETA, FORNECIMENTO E INSTALACAO</t>
  </si>
  <si>
    <t xml:space="preserve">5.1.11</t>
  </si>
  <si>
    <t xml:space="preserve">97955</t>
  </si>
  <si>
    <t xml:space="preserve">LUMINÁRIA DE EMERGÊNCIA, COM 30 LÂMPADAS LED DE 2 W, SEM REATOR - FORNECIMENTO E INSTALAÇÃO. AF_02/2020</t>
  </si>
  <si>
    <t xml:space="preserve">5.1.12</t>
  </si>
  <si>
    <t xml:space="preserve">LUMINARIA ESTANQUE – PROTECAO CONTRA AGUA, POEIRA, OU IMPACTOS – TIPO AQUATIC (TIPO TARTARUGA NA COR BRANCA, 3/4, ALUMÍNIO E VIDRO COM LÂMPADA 25W FLUORESCENTE COMPACTA)</t>
  </si>
  <si>
    <t xml:space="preserve">5.1.13</t>
  </si>
  <si>
    <t xml:space="preserve">ELETRODUTO FLEXÍVEL CORRUGADO, PVC, DN 32 MM (1"), PARA CIRCUITOS TERMINAIS, INSTALADO EM FORRO – FORNECIMENTO E INSTALAÇÃO</t>
  </si>
  <si>
    <t xml:space="preserve">5.1.14</t>
  </si>
  <si>
    <t xml:space="preserve">ELETRODUTO FLEXÍVEL CORRUGADO, PVC, DN 32 MM (1"), PARA CIRCUITOS TERMINAIS, INSTALADO EM PAREDE – FORNECIMENTO E INSTALAÇÃO</t>
  </si>
  <si>
    <t xml:space="preserve">5.1.15</t>
  </si>
  <si>
    <t xml:space="preserve">CABO DE COBRE FLEXÍVEL ISOLADO, 1,5 MM², ANTI-CHAMA 450/750 V, PARA CIRCUITOS TERMINAIS - FORNECIMENTO E INSTALAÇÃO. AF_12/2015</t>
  </si>
  <si>
    <t xml:space="preserve">5.1.16</t>
  </si>
  <si>
    <t xml:space="preserve">CABO DE COBRE FLEXÍVEL ISOLADO, 2,5 MM², ANTI-CHAMA 450/750 V, PARA CIRCUITOS TERMINAIS - FORNECIMENTO E INSTALAÇÃO. AF_12/2015</t>
  </si>
  <si>
    <t xml:space="preserve">5.1.17</t>
  </si>
  <si>
    <t xml:space="preserve">CABO DE COBRE FLEXÍVEL ISOLADO, 4,0  MM², ANTI-CHAMA 0,6/1,0 KV, PARA CIRCUITOS TERMINAIS - FORNECIMENTO E INSTALAÇÃO</t>
  </si>
  <si>
    <t xml:space="preserve">5.1.18</t>
  </si>
  <si>
    <t xml:space="preserve">CABO DE COBRE FLEXÍVEL ISOLADO, 10,0  MM², ANTI-CHAMA 450/750 KV, PARA CIRCUITOS TERMINAIS - FORNECIMENTO E INSTALAÇÃO AF12/2015</t>
  </si>
  <si>
    <t xml:space="preserve">5.1.19</t>
  </si>
  <si>
    <t xml:space="preserve">TOMADA BAIXA DE EMBUTIR (1 MÓDULO), 2P+T 20 A, INCLUINDO SUPORTE E PLACA - FORNECIMENTO E INSTALAÇÃO</t>
  </si>
  <si>
    <t xml:space="preserve">5.1.20</t>
  </si>
  <si>
    <t xml:space="preserve">TOMADA BAIXA DE EMBUTIR (2 MÓDULOS), 2P+T 20 A, INCLUINDO SUPORTE E PLACA – FORNECIMENTO E INSTALAÇÃO</t>
  </si>
  <si>
    <t xml:space="preserve">5.1.21</t>
  </si>
  <si>
    <t xml:space="preserve">TOMADA  ALTA DE EMBUTIR (1 MÓDULO), 2P+T 20 A, INCLUINDO SUPORTE E PLACA - FORNECIMENTO E INSTALAÇÃO</t>
  </si>
  <si>
    <t xml:space="preserve">5.1.22</t>
  </si>
  <si>
    <t xml:space="preserve">TOMADA MÉDIA DE EMBUTIR (2 MÓDULOS), 2P+T 20 A, INCLUINDO SUPORTE E PLACA – FORNECIMENTO E INSTALAÇÃO</t>
  </si>
  <si>
    <t xml:space="preserve">5.1.23</t>
  </si>
  <si>
    <t xml:space="preserve">08819/ORSE</t>
  </si>
  <si>
    <t xml:space="preserve">TOMADA PARA USO GERAL 2P+T, ABNT, DE SOBREPOR, 20 A, COM CAIXA, "SISTEMA X", PARA USO COM CANALETA 20X10 MM</t>
  </si>
  <si>
    <t xml:space="preserve">5.1.24</t>
  </si>
  <si>
    <t xml:space="preserve">03811/ORSE</t>
  </si>
  <si>
    <t xml:space="preserve">CANALETA PLÁSTICA 25X25 MM (SCHEINEDER OU SIMILAR)- FORNECIMENTO E INSTALAÇÃO</t>
  </si>
  <si>
    <t xml:space="preserve">5.1.25</t>
  </si>
  <si>
    <t xml:space="preserve">74130/001</t>
  </si>
  <si>
    <t xml:space="preserve">DISJUNTOR TERMOMAGNETICO MONOPOLAR PADRAO NEMA (AMERICANO) 10 A 30A 240V, FORNECIMENTO E INSTALACAO</t>
  </si>
  <si>
    <t xml:space="preserve">5.1.26</t>
  </si>
  <si>
    <t xml:space="preserve">74130/002</t>
  </si>
  <si>
    <t xml:space="preserve">DISJUNTOR TERMOMAGNETICO MONOPOLAR PADRAO NEMA (AMERICANO) 35 A 50A 240V, FORNECIMENTO E INSTALACAO</t>
  </si>
  <si>
    <t xml:space="preserve">6.0</t>
  </si>
  <si>
    <t xml:space="preserve">INSTALAÇÕES DE CABEAMENTO ESTRUTURADO</t>
  </si>
  <si>
    <t xml:space="preserve">6.1</t>
  </si>
  <si>
    <t xml:space="preserve">CABEAMENTO ESTRUTURADO</t>
  </si>
  <si>
    <t xml:space="preserve">6.1.1</t>
  </si>
  <si>
    <t xml:space="preserve">05006/ORSE</t>
  </si>
  <si>
    <t xml:space="preserve"> PONTO PARA CABEAMENTO ESTRUTURADO EMBUTIDO, COM ELETRODUTO PVC RÍGIDO C/CABO UTP 4 PARES CAT 6E</t>
  </si>
  <si>
    <t xml:space="preserve">6.1.2</t>
  </si>
  <si>
    <t xml:space="preserve">00697/ORSE</t>
  </si>
  <si>
    <t xml:space="preserve"> FORNECIMENTO E LANÇAMENTO DE CABO UTP 4 PARES CAT 5E</t>
  </si>
  <si>
    <t xml:space="preserve">7.0</t>
  </si>
  <si>
    <t xml:space="preserve">INSTALAÇÕES E MATERIAIS HIDROSANITÁRIOS</t>
  </si>
  <si>
    <t xml:space="preserve">7.1</t>
  </si>
  <si>
    <t xml:space="preserve">INSTALAÇÕES HIDROSANITÁRIOS</t>
  </si>
  <si>
    <t xml:space="preserve">7.1.1</t>
  </si>
  <si>
    <t xml:space="preserve">7.1.2</t>
  </si>
  <si>
    <t xml:space="preserve">7.2</t>
  </si>
  <si>
    <t xml:space="preserve">MATERIAIS HIDROSSINATÁRIOS</t>
  </si>
  <si>
    <t xml:space="preserve">7.2.1</t>
  </si>
  <si>
    <t xml:space="preserve">89356</t>
  </si>
  <si>
    <t xml:space="preserve">TUBO, PVC, SOLDÁVEL, DN 25MM, INSTALADO EM RAMAL OU SUB-RAMAL DE ÁGUA - FORNECIMENTO E INSTALAÇÃO</t>
  </si>
  <si>
    <t xml:space="preserve">7.2.2</t>
  </si>
  <si>
    <t xml:space="preserve">89383</t>
  </si>
  <si>
    <t xml:space="preserve">ADAPTADOR CURTO COM BOLSA E ROSCA PARA REGISTRO, PVC, SOLDÁVEL, DN 25M M X 3/4", INSTALADO EM RAMAL OU SUB-RAMAL DE ÁGUA - FORNECIMENTO E INSTALAÇÃO. AF_12/2014_P</t>
  </si>
  <si>
    <t xml:space="preserve">7.2.3</t>
  </si>
  <si>
    <t xml:space="preserve">73663</t>
  </si>
  <si>
    <t xml:space="preserve">REGISTRO DE GAVETA COM CANOPLA Ø 25MM (1) - FORNECIMENTO E INSTALAÇÃO</t>
  </si>
  <si>
    <t xml:space="preserve">7.2.4</t>
  </si>
  <si>
    <t xml:space="preserve">89395</t>
  </si>
  <si>
    <t xml:space="preserve">TE, PVC, SOLDÁVEL, DN 25MM, INSTALADO EM RAMAL OU SUB-RAMAL DE ÁGUA -FORNECIMENTO E INSTALAÇÃO</t>
  </si>
  <si>
    <t xml:space="preserve">7.2.5</t>
  </si>
  <si>
    <t xml:space="preserve">89362</t>
  </si>
  <si>
    <t xml:space="preserve">JOELHO 90 GRAUS, PVC, SOLDÁVEL, DN 25MM, INSTALADO EM RAMAL OU SUB-RAMAL DE ÁGUA - FORNECIMENTO E INSTALAÇÃO</t>
  </si>
  <si>
    <t xml:space="preserve">7.2.6</t>
  </si>
  <si>
    <t xml:space="preserve">89378</t>
  </si>
  <si>
    <t xml:space="preserve">LUVA, PVC, SOLDÁVEL, DN 25MM, INSTALADO EM RAMAL OU SUB-RAMAL DE ÁGUA - FORNECIMENTO E INSTALAÇÃO</t>
  </si>
  <si>
    <t xml:space="preserve">7.2.7</t>
  </si>
  <si>
    <t xml:space="preserve">89410</t>
  </si>
  <si>
    <t xml:space="preserve">CURVA 90 GRAUS, PVC, SOLDÁVEL, DN 25MM, INSTALADO EM RAMAL DE DISTRIBUIÇÃO DE ÁGUA - FORNECIMENTO E INSTALAÇÃO. AF_12/2014_P</t>
  </si>
  <si>
    <t xml:space="preserve">7.2.8</t>
  </si>
  <si>
    <t xml:space="preserve">COMP. PRÓPRIA (DPE-MA012)</t>
  </si>
  <si>
    <t xml:space="preserve">ABRAÇADEIRA EM AÇO, TIPO "D", COM 1'' ( COM CUNHA E PARAFUSO) - FORNECIMENTO E INSTALAÇÃO</t>
  </si>
  <si>
    <t xml:space="preserve">7.2.9</t>
  </si>
  <si>
    <t xml:space="preserve">01200/ORSE</t>
  </si>
  <si>
    <t xml:space="preserve"> PONTO DE ÁGUA FRIA EMBUTIDO, C/MATERIAL PVC RÍGIDO SOLDÁVEL Ø 25mm</t>
  </si>
  <si>
    <t xml:space="preserve">7.2.10</t>
  </si>
  <si>
    <t xml:space="preserve">89711</t>
  </si>
  <si>
    <t xml:space="preserve">TUBO PVC, SERIE NORMAL, ESGOTO PREDIAL, DN 40 MM, FORNECIDO E INSTALADO EM RAMAL DE DESCARGA OU RAMAL DE ESGOTO SANITÁRIO. AF_12/2014_P</t>
  </si>
  <si>
    <t xml:space="preserve">7.2.11</t>
  </si>
  <si>
    <t xml:space="preserve">89724</t>
  </si>
  <si>
    <t xml:space="preserve">JOELHO 90 GRAUS, PVC, SERIE NORMAL, ESGOTO PREDIAL, DN 40 MM, JUNTA ELÁSTICA, FORNECIDO E INSTALADO EM RAMAL DE DESCARGA OU RAMAL DE ESGOTO SANITÁRIO. AF_12/2014</t>
  </si>
  <si>
    <t xml:space="preserve">7.2.12</t>
  </si>
  <si>
    <t xml:space="preserve">89728</t>
  </si>
  <si>
    <t xml:space="preserve">CURVA CURTA 90 GRAUS, PVC, SERIE NORMAL, ESGOTO PREDIAL, DN 40 MM, JUNTA ELÁSTICA, FORNECIDO E INSTALADO EM RAMAL DE DESCARGA OU RAMAL DE ESGOTO SANITÁRIO. AF_12/2014</t>
  </si>
  <si>
    <t xml:space="preserve">7.2.13</t>
  </si>
  <si>
    <t xml:space="preserve">89754</t>
  </si>
  <si>
    <t xml:space="preserve">LUVA DE CORRER, PVC, SERIE NORMAL, ESGOTO PREDIAL, DN 50 MM, JUNTA ELÁSTICA, FORNECIDO E INSTALADO EM RAMAL DE DESCARGA OU RAMAL DE ESGOTO SANITÁRIO. AF_12/2014</t>
  </si>
  <si>
    <t xml:space="preserve">7.2.14</t>
  </si>
  <si>
    <t xml:space="preserve">89782</t>
  </si>
  <si>
    <t xml:space="preserve">TE, PVC, SERIE NORMAL, ESGOTO PREDIAL, DN 40 X 40 MM, JUNTA ELÁSTICA - FORNECIDO E INSTALADO EM RAMAL DE DESCARGA OU RAMAL DE ESGOTO SANITÁRI</t>
  </si>
  <si>
    <t xml:space="preserve">7.2.15</t>
  </si>
  <si>
    <t xml:space="preserve">89714</t>
  </si>
  <si>
    <t xml:space="preserve">TUBO PVC, SERIE NORMAL, ESGOTO PREDIAL, DN 100 MM, FORNECIDO E INSTALADO EM RAMAL DE DESCARGA OU RAMAL DE ESGOTO SANITÁRIO. AF_12/2014_P</t>
  </si>
  <si>
    <t xml:space="preserve">7.2.16</t>
  </si>
  <si>
    <t xml:space="preserve">86884</t>
  </si>
  <si>
    <t xml:space="preserve">ENGATE FLEXÍVEL EM PLÁSTICO BRANCO, 1/2" X 30CM - FORNECIMENTO E INSTALAÇÃO. AF_12/2013</t>
  </si>
  <si>
    <t xml:space="preserve">7.2.17</t>
  </si>
  <si>
    <t xml:space="preserve">86883</t>
  </si>
  <si>
    <t xml:space="preserve">SIFÃO DO TIPO FLEXÍVEL EM PVC 3/4" X 1.1/2" - FORNECIMENTO E INSTALAÇÃO. AF_12/2013</t>
  </si>
  <si>
    <t xml:space="preserve">7.2.18</t>
  </si>
  <si>
    <t xml:space="preserve">04324/ORSE</t>
  </si>
  <si>
    <t xml:space="preserve">PAPELEIRA DE PLÁSTICO AKROS OU SIMILAR</t>
  </si>
  <si>
    <t xml:space="preserve">7.2.19</t>
  </si>
  <si>
    <t xml:space="preserve">02066/ORSE</t>
  </si>
  <si>
    <t xml:space="preserve">ASSENTO PARA VASO SANITÁRIO, AP60, LINHA CARRARA/NUOVA/DUNA, PLÁSTICO, DECA OU SIMILAR</t>
  </si>
  <si>
    <t xml:space="preserve">7.2.20</t>
  </si>
  <si>
    <t xml:space="preserve">04387/ORSE</t>
  </si>
  <si>
    <t xml:space="preserve">ASSENTO PARA VASO SANITARIO REMOVÍVEL P/DEFICIENTE FÍSICO, DECA OU SIMILAR</t>
  </si>
  <si>
    <t xml:space="preserve">7.2.21</t>
  </si>
  <si>
    <t xml:space="preserve">07611/ORSE</t>
  </si>
  <si>
    <t xml:space="preserve">PORTA PAPEL-HIGIÊNICO EM INOX</t>
  </si>
  <si>
    <t xml:space="preserve">7.2.22</t>
  </si>
  <si>
    <t xml:space="preserve">07609/ORSE</t>
  </si>
  <si>
    <t xml:space="preserve">SABONETEIRA EM PLÁSTICO ABS, PARA SABONETE LÍQUIDO, DA JSN, REF 17 OU SIMILAR</t>
  </si>
  <si>
    <t xml:space="preserve">7.2.23</t>
  </si>
  <si>
    <t xml:space="preserve">KIT DE REPARO CAIXA ACOPLADA</t>
  </si>
  <si>
    <t xml:space="preserve">8.0</t>
  </si>
  <si>
    <t xml:space="preserve">LOUÇAS E METAIS</t>
  </si>
  <si>
    <t xml:space="preserve">8.1</t>
  </si>
  <si>
    <t xml:space="preserve">LOUÇAS</t>
  </si>
  <si>
    <t xml:space="preserve">8.1.1</t>
  </si>
  <si>
    <t xml:space="preserve">85333</t>
  </si>
  <si>
    <t xml:space="preserve">RETIRADA DE APARELHOS SANITARIOS</t>
  </si>
  <si>
    <t xml:space="preserve">8.1.2</t>
  </si>
  <si>
    <t xml:space="preserve">86888</t>
  </si>
  <si>
    <t xml:space="preserve">VASO SANITÁRIO SIFONADO COM CAIXA ACOPLADA LOUÇA BRANCA - FORNECIMENTO E INSTALAÇÃO. AF_12/2013</t>
  </si>
  <si>
    <t xml:space="preserve">8.1.3</t>
  </si>
  <si>
    <t xml:space="preserve">BACIA DE LOUÇA COM ABERTURA FRONTAL P/ PNE, CAIXA DE DESCARGA PVC EXTERNA COMPLETA 9L, ENGATE FLEXÍVEL, BOIA E SUPORTE DE FIXAÇÃO, BOLSA DE LIGAÇÃO E CONJUNTO PARA FIXAÇÃO DE CAIXA DE DESCARGA NA COR BRANCA</t>
  </si>
  <si>
    <t xml:space="preserve">8.1.4</t>
  </si>
  <si>
    <t xml:space="preserve">86943</t>
  </si>
  <si>
    <t xml:space="preserve">LAVATÓRIO LOUÇA BRANCA SUSPENSO, 29,5 X 39CM OU EQUIVALENTE, PADRÃO POPULAR, INCLUSO SIFÃO FLEXÍVEL EM PVC, VÁLVULA E ENGATE FLEXÍVEL 30CM EM PLÁSTICO E TORNEIRA CROMADA DE MESA, PADRÃO POPULAR - FORNECIMENTO E INSTALAÇÃO. AF_12/2013</t>
  </si>
  <si>
    <t xml:space="preserve">8.2</t>
  </si>
  <si>
    <t xml:space="preserve">METAIS</t>
  </si>
  <si>
    <t xml:space="preserve">8.2.1</t>
  </si>
  <si>
    <t xml:space="preserve">86912</t>
  </si>
  <si>
    <t xml:space="preserve">TORNEIRA CROMADA LONGA, DE PAREDE, 1/2" OU 3/4", PARA PIA DE COZINHA,PADRÃO MÉDIO - FORNECIMENTO E INSTALAÇÃO. AF_12/2013</t>
  </si>
  <si>
    <t xml:space="preserve">8.2.2</t>
  </si>
  <si>
    <t xml:space="preserve">86915</t>
  </si>
  <si>
    <t xml:space="preserve">TORNEIRA CROMADA DE MESA, 1/2" OU 3/4", PARA LAVATÓRIO, PADRÃO MÉDIO - FORNECIMENTO E INSTALAÇÃO. AF_12/2013</t>
  </si>
  <si>
    <t xml:space="preserve">8.2.3</t>
  </si>
  <si>
    <t xml:space="preserve">90831</t>
  </si>
  <si>
    <t xml:space="preserve">FECHADURA DE EMBUTIR PARA PORTA DE BANHEIRO, COMPLETA, ACABAMENTO PADRÃO MÉDIO, INCLUSO EXECUÇÃO DE FURO - FORNECIMENTO E INSTALAÇÃO</t>
  </si>
  <si>
    <t xml:space="preserve">8.2.4</t>
  </si>
  <si>
    <t xml:space="preserve">91306</t>
  </si>
  <si>
    <t xml:space="preserve">FECHADURA DE EMBUTIR PARA PORTAS INTERNAS, COMPLETA, ACABAMENTO PADRÃO MÉDIO, COM EXECUÇÃO DE FURO - FORNECIMENTO E INSTALAÇÃO</t>
  </si>
  <si>
    <t xml:space="preserve">COBERTURA</t>
  </si>
  <si>
    <t xml:space="preserve">9.1.1</t>
  </si>
  <si>
    <t xml:space="preserve">REVISAO GERAL DE TELHADOS DE TELHAS CERAMICAS</t>
  </si>
  <si>
    <t xml:space="preserve">9.1.2</t>
  </si>
  <si>
    <t xml:space="preserve">RETIRADA DE TELHAS DE CERAMICAS OU DE VIDRO</t>
  </si>
  <si>
    <t xml:space="preserve">9.1.3</t>
  </si>
  <si>
    <t xml:space="preserve">RECOLOCACAO DE TELHAS CERAMICAS TIPO PLAN, CONSIDERANDO REAPROVEITAMENTO DE MATERIAL</t>
  </si>
  <si>
    <t xml:space="preserve">9.1.4</t>
  </si>
  <si>
    <t xml:space="preserve">40905</t>
  </si>
  <si>
    <t xml:space="preserve">VERNIZ SINTETICO EM MADEIRA, DUAS DEMAOS</t>
  </si>
  <si>
    <t xml:space="preserve">9.1.5</t>
  </si>
  <si>
    <t xml:space="preserve">55960</t>
  </si>
  <si>
    <t xml:space="preserve">IMUNIZAÇÃO DE MADEIRAMENTO PARA COBERTURA UTILIZANDO CUPINICIDA INCOLOR</t>
  </si>
  <si>
    <t xml:space="preserve">LIMPEZA E CARGAS MANUAIS</t>
  </si>
  <si>
    <t xml:space="preserve">10.1</t>
  </si>
  <si>
    <t xml:space="preserve">9537</t>
  </si>
  <si>
    <t xml:space="preserve">LIMPEZA FINAL DA OBRA</t>
  </si>
  <si>
    <t xml:space="preserve">10.2</t>
  </si>
  <si>
    <t xml:space="preserve">72897</t>
  </si>
  <si>
    <t xml:space="preserve">CARGA MANUAL DE ENTULHO EM CAMINHAO BASCULANTE 6 M3</t>
  </si>
  <si>
    <t xml:space="preserve">MOBILIZAÇÃO E DESMOBILIZAÇÃO</t>
  </si>
  <si>
    <t xml:space="preserve">11.1</t>
  </si>
  <si>
    <t xml:space="preserve">DESLOCAMENTOS MÉDIOS ACIMA DE 100KM (IDA E VOLTA) A PARTIR DO PÓLO SEDE DO LOTE</t>
  </si>
  <si>
    <t xml:space="preserve">KM</t>
  </si>
  <si>
    <t xml:space="preserve">TOTAL GERAL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</si>
</sst>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#,##0.00\ ;#,##0.00\ ;\-#\ ;@\ "/>
    <numFmt numFmtId="166" formatCode="0%"/>
    <numFmt numFmtId="167" formatCode="[$R$-416]\ #,##0.00;[RED]\-[$R$-416]\ #,##0.00"/>
    <numFmt numFmtId="168" formatCode="#,##0.00"/>
    <numFmt numFmtId="169" formatCode="@"/>
    <numFmt numFmtId="170" formatCode="0.00%"/>
    <numFmt numFmtId="171" formatCode="0.00E+00"/>
    <numFmt numFmtId="172" formatCode="&quot;R$ &quot;#,##0.00;[RED]&quot;-R$ &quot;#,##0.00"/>
    <numFmt numFmtId="173" formatCode="[$R$-416]#,##0.00\ ;\-[$R$-416]#,##0.00\ ;[$R$-416]\-#\ ;@\ "/>
  </numFmts>
  <fonts count="22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b val="true"/>
      <sz val="24"/>
      <color rgb="FF000000"/>
      <name val="Arial"/>
      <family val="2"/>
      <charset val="1"/>
    </font>
    <font>
      <sz val="18"/>
      <color rgb="FF000000"/>
      <name val="Arial"/>
      <family val="2"/>
      <charset val="1"/>
    </font>
    <font>
      <b val="true"/>
      <i val="true"/>
      <sz val="16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996600"/>
      <name val="Arial"/>
      <family val="2"/>
      <charset val="1"/>
    </font>
    <font>
      <sz val="10"/>
      <color rgb="FF333333"/>
      <name val="Arial"/>
      <family val="2"/>
      <charset val="1"/>
    </font>
    <font>
      <b val="true"/>
      <i val="true"/>
      <u val="single"/>
      <sz val="11"/>
      <color rgb="FF000000"/>
      <name val="Arial"/>
      <family val="2"/>
      <charset val="1"/>
    </font>
    <font>
      <b val="true"/>
      <sz val="16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2"/>
      <color rgb="FF000000"/>
      <name val="Courier New"/>
      <family val="3"/>
      <charset val="1"/>
    </font>
    <font>
      <u val="single"/>
      <sz val="11"/>
      <color rgb="FF0000EE"/>
      <name val="Arial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FF99"/>
        <bgColor rgb="FFFFFFCC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4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90" wrapText="false" indent="0" shrinkToFit="false"/>
    </xf>
    <xf numFmtId="165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8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6" fillId="8" borderId="1" applyFont="true" applyBorder="true" applyAlignment="true" applyProtection="false">
      <alignment horizontal="general" vertical="bottom" textRotation="0" wrapText="false" indent="0" shrinkToFit="false"/>
    </xf>
    <xf numFmtId="166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7" fillId="0" borderId="0" applyFont="true" applyBorder="false" applyAlignment="true" applyProtection="false">
      <alignment horizontal="general" vertical="bottom" textRotation="0" wrapText="false" indent="0" shrinkToFit="false"/>
    </xf>
    <xf numFmtId="167" fontId="17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6" fontId="14" fillId="0" borderId="0" applyFont="true" applyBorder="false" applyAlignment="true" applyProtection="false">
      <alignment horizontal="general" vertical="bottom" textRotation="0" wrapText="false" indent="0" shrinkToFit="false"/>
    </xf>
    <xf numFmtId="165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8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18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1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1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9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3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3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1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9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9" fillId="0" borderId="6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9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9" fillId="9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9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9" fillId="9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9" fillId="9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9" fillId="9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9" fillId="9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9" fillId="9" borderId="8" xfId="4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1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9" fillId="1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2" fontId="19" fillId="1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3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3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9" fillId="1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9" fillId="1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9" fillId="10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9" fillId="8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9" fillId="8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9" fillId="8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9" fillId="8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2" fontId="19" fillId="8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3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13" fillId="11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11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13" fillId="11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2" fontId="13" fillId="11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9" fillId="8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3" fillId="0" borderId="8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13" fillId="11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3" fillId="11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3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11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3" fillId="11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3" fillId="11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1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11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1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9" fillId="10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19" fillId="8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11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8" xfId="4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3" fillId="0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13" fillId="9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9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9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19" fillId="9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9" fillId="9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1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1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3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Error 9" xfId="25"/>
    <cellStyle name="Footnote 12" xfId="26"/>
    <cellStyle name="Good 13" xfId="27"/>
    <cellStyle name="Heading" xfId="28"/>
    <cellStyle name="Heading 1 15" xfId="29"/>
    <cellStyle name="Heading 14" xfId="30"/>
    <cellStyle name="Heading 2 16" xfId="31"/>
    <cellStyle name="Título 1" xfId="32"/>
    <cellStyle name="Moeda 2" xfId="33"/>
    <cellStyle name="Neutral 17" xfId="34"/>
    <cellStyle name="Normal 2" xfId="35"/>
    <cellStyle name="Normal 3" xfId="36"/>
    <cellStyle name="Note 18" xfId="37"/>
    <cellStyle name="Porcentagem 2" xfId="38"/>
    <cellStyle name="Result 19" xfId="39"/>
    <cellStyle name="Resultado2" xfId="40"/>
    <cellStyle name="Status 20" xfId="41"/>
    <cellStyle name="Text 21" xfId="42"/>
    <cellStyle name="Warning 22" xfId="43"/>
    <cellStyle name="Excel Built-in Percent 11" xfId="44"/>
    <cellStyle name="Excel Built-in Currency 10" xfId="45"/>
    <cellStyle name="Hiperlink" xfId="46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187.17.2.135/orse/composicao.asp?font_sg_fonte=ORSE&amp;serv_nr_codigo=4324&amp;peri_nr_ano=2017&amp;peri_nr_mes=6&amp;peri_nr_ordem=1" TargetMode="External"/><Relationship Id="rId2" Type="http://schemas.openxmlformats.org/officeDocument/2006/relationships/hyperlink" Target="http://187.17.2.135/orse/composicao.asp?font_sg_fonte=ORSE&amp;serv_nr_codigo=4387&amp;peri_nr_ano=2017&amp;peri_nr_mes=6&amp;peri_nr_ordem=1" TargetMode="External"/><Relationship Id="rId3" Type="http://schemas.openxmlformats.org/officeDocument/2006/relationships/hyperlink" Target="http://187.17.2.135/orse/composicao.asp?font_sg_fonte=ORSE&amp;serv_nr_codigo=7609&amp;peri_nr_ano=2017&amp;peri_nr_mes=6&amp;peri_nr_ordem=1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J162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100" zoomScalePageLayoutView="85" workbookViewId="0">
      <selection pane="topLeft" activeCell="C62" activeCellId="0" sqref="C62"/>
    </sheetView>
  </sheetViews>
  <sheetFormatPr defaultColWidth="7.87109375" defaultRowHeight="15" zeroHeight="false" outlineLevelRow="0" outlineLevelCol="0"/>
  <cols>
    <col collapsed="false" customWidth="true" hidden="false" outlineLevel="0" max="1" min="1" style="1" width="12.63"/>
    <col collapsed="false" customWidth="true" hidden="false" outlineLevel="0" max="2" min="2" style="2" width="17.62"/>
    <col collapsed="false" customWidth="true" hidden="false" outlineLevel="0" max="3" min="3" style="2" width="94.5"/>
    <col collapsed="false" customWidth="true" hidden="false" outlineLevel="0" max="4" min="4" style="3" width="6.13"/>
    <col collapsed="false" customWidth="true" hidden="false" outlineLevel="0" max="5" min="5" style="1" width="10.62"/>
    <col collapsed="false" customWidth="true" hidden="false" outlineLevel="0" max="6" min="6" style="1" width="11.62"/>
    <col collapsed="false" customWidth="true" hidden="false" outlineLevel="0" max="7" min="7" style="1" width="19.13"/>
    <col collapsed="false" customWidth="true" hidden="false" outlineLevel="0" max="8" min="8" style="1" width="21.25"/>
    <col collapsed="false" customWidth="true" hidden="false" outlineLevel="0" max="9" min="9" style="2" width="14.87"/>
    <col collapsed="false" customWidth="true" hidden="false" outlineLevel="0" max="10" min="10" style="2" width="12.38"/>
    <col collapsed="false" customWidth="false" hidden="false" outlineLevel="0" max="1023" min="11" style="2" width="7.87"/>
    <col collapsed="false" customWidth="true" hidden="false" outlineLevel="0" max="1024" min="1024" style="2" width="9"/>
  </cols>
  <sheetData>
    <row r="1" customFormat="false" ht="4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</row>
    <row r="2" s="10" customFormat="true" ht="15.75" hidden="false" customHeight="false" outlineLevel="0" collapsed="false">
      <c r="A2" s="5" t="s">
        <v>1</v>
      </c>
      <c r="B2" s="6" t="s">
        <v>2</v>
      </c>
      <c r="C2" s="6"/>
      <c r="D2" s="7"/>
      <c r="E2" s="8"/>
      <c r="F2" s="8"/>
      <c r="G2" s="8"/>
      <c r="H2" s="9"/>
    </row>
    <row r="3" customFormat="false" ht="15" hidden="false" customHeight="false" outlineLevel="0" collapsed="false">
      <c r="A3" s="11" t="s">
        <v>3</v>
      </c>
      <c r="B3" s="12" t="s">
        <v>4</v>
      </c>
      <c r="C3" s="12"/>
      <c r="D3" s="13"/>
      <c r="E3" s="14"/>
      <c r="F3" s="14"/>
      <c r="G3" s="14"/>
      <c r="H3" s="15"/>
    </row>
    <row r="4" s="10" customFormat="true" ht="15.75" hidden="false" customHeight="false" outlineLevel="0" collapsed="false">
      <c r="A4" s="5" t="s">
        <v>1</v>
      </c>
      <c r="B4" s="6" t="s">
        <v>5</v>
      </c>
      <c r="C4" s="6"/>
      <c r="D4" s="7"/>
      <c r="E4" s="8"/>
      <c r="F4" s="8"/>
      <c r="G4" s="8"/>
      <c r="H4" s="9"/>
    </row>
    <row r="5" customFormat="false" ht="15" hidden="false" customHeight="false" outlineLevel="0" collapsed="false">
      <c r="A5" s="11" t="s">
        <v>3</v>
      </c>
      <c r="B5" s="16" t="s">
        <v>6</v>
      </c>
      <c r="C5" s="16"/>
      <c r="D5" s="13"/>
      <c r="E5" s="14"/>
      <c r="F5" s="14"/>
      <c r="G5" s="14"/>
      <c r="H5" s="15"/>
    </row>
    <row r="6" s="10" customFormat="true" ht="15.75" hidden="false" customHeight="false" outlineLevel="0" collapsed="false">
      <c r="A6" s="5" t="s">
        <v>1</v>
      </c>
      <c r="B6" s="6" t="s">
        <v>7</v>
      </c>
      <c r="C6" s="6"/>
      <c r="D6" s="7"/>
      <c r="E6" s="8"/>
      <c r="F6" s="8"/>
      <c r="G6" s="8"/>
      <c r="H6" s="9"/>
    </row>
    <row r="7" customFormat="false" ht="15" hidden="false" customHeight="false" outlineLevel="0" collapsed="false">
      <c r="A7" s="11" t="s">
        <v>3</v>
      </c>
      <c r="B7" s="17" t="s">
        <v>8</v>
      </c>
      <c r="C7" s="17"/>
      <c r="D7" s="13"/>
      <c r="E7" s="14"/>
      <c r="F7" s="14"/>
      <c r="G7" s="14"/>
      <c r="H7" s="15"/>
    </row>
    <row r="8" s="10" customFormat="true" ht="15.75" hidden="false" customHeight="false" outlineLevel="0" collapsed="false">
      <c r="A8" s="5" t="s">
        <v>1</v>
      </c>
      <c r="B8" s="6" t="s">
        <v>9</v>
      </c>
      <c r="C8" s="6"/>
      <c r="D8" s="7"/>
      <c r="E8" s="8"/>
      <c r="F8" s="8"/>
      <c r="G8" s="8"/>
      <c r="H8" s="9"/>
    </row>
    <row r="9" customFormat="false" ht="15" hidden="false" customHeight="false" outlineLevel="0" collapsed="false">
      <c r="A9" s="11" t="s">
        <v>3</v>
      </c>
      <c r="B9" s="17" t="s">
        <v>10</v>
      </c>
      <c r="C9" s="17"/>
      <c r="D9" s="13"/>
      <c r="E9" s="14"/>
      <c r="F9" s="14"/>
      <c r="G9" s="14"/>
      <c r="H9" s="15"/>
    </row>
    <row r="10" s="10" customFormat="true" ht="15.75" hidden="false" customHeight="false" outlineLevel="0" collapsed="false">
      <c r="A10" s="5" t="s">
        <v>1</v>
      </c>
      <c r="B10" s="18" t="s">
        <v>11</v>
      </c>
      <c r="C10" s="18"/>
      <c r="D10" s="7"/>
      <c r="E10" s="8"/>
      <c r="F10" s="8"/>
      <c r="G10" s="8"/>
      <c r="H10" s="9"/>
    </row>
    <row r="11" customFormat="false" ht="15" hidden="false" customHeight="false" outlineLevel="0" collapsed="false">
      <c r="A11" s="11" t="s">
        <v>3</v>
      </c>
      <c r="B11" s="17" t="s">
        <v>12</v>
      </c>
      <c r="C11" s="17"/>
      <c r="D11" s="13"/>
      <c r="E11" s="14"/>
      <c r="F11" s="14"/>
      <c r="G11" s="14"/>
      <c r="H11" s="15"/>
    </row>
    <row r="12" s="10" customFormat="true" ht="15.75" hidden="false" customHeight="false" outlineLevel="0" collapsed="false">
      <c r="A12" s="5" t="s">
        <v>1</v>
      </c>
      <c r="B12" s="6" t="s">
        <v>13</v>
      </c>
      <c r="C12" s="6"/>
      <c r="D12" s="7"/>
      <c r="E12" s="8"/>
      <c r="F12" s="8"/>
      <c r="G12" s="8"/>
      <c r="H12" s="9"/>
    </row>
    <row r="13" customFormat="false" ht="15" hidden="false" customHeight="false" outlineLevel="0" collapsed="false">
      <c r="A13" s="11" t="s">
        <v>3</v>
      </c>
      <c r="B13" s="17" t="s">
        <v>14</v>
      </c>
      <c r="C13" s="17"/>
      <c r="D13" s="13"/>
      <c r="E13" s="14"/>
      <c r="F13" s="14"/>
      <c r="G13" s="14"/>
      <c r="H13" s="15"/>
    </row>
    <row r="14" s="10" customFormat="true" ht="15.75" hidden="false" customHeight="false" outlineLevel="0" collapsed="false">
      <c r="A14" s="5" t="s">
        <v>1</v>
      </c>
      <c r="B14" s="6" t="s">
        <v>15</v>
      </c>
      <c r="C14" s="6"/>
      <c r="D14" s="7"/>
      <c r="E14" s="8"/>
      <c r="F14" s="8"/>
      <c r="G14" s="8"/>
      <c r="H14" s="9"/>
    </row>
    <row r="15" customFormat="false" ht="15" hidden="false" customHeight="false" outlineLevel="0" collapsed="false">
      <c r="A15" s="11" t="s">
        <v>3</v>
      </c>
      <c r="B15" s="17" t="s">
        <v>16</v>
      </c>
      <c r="C15" s="17"/>
      <c r="D15" s="13"/>
      <c r="E15" s="14"/>
      <c r="F15" s="14"/>
      <c r="G15" s="14"/>
      <c r="H15" s="15"/>
    </row>
    <row r="16" s="10" customFormat="true" ht="15.75" hidden="false" customHeight="false" outlineLevel="0" collapsed="false">
      <c r="A16" s="5" t="s">
        <v>1</v>
      </c>
      <c r="B16" s="6" t="s">
        <v>17</v>
      </c>
      <c r="C16" s="6"/>
      <c r="D16" s="7"/>
      <c r="E16" s="8"/>
      <c r="F16" s="8"/>
      <c r="G16" s="8"/>
      <c r="H16" s="9"/>
    </row>
    <row r="17" customFormat="false" ht="15" hidden="false" customHeight="false" outlineLevel="0" collapsed="false">
      <c r="A17" s="11" t="s">
        <v>3</v>
      </c>
      <c r="B17" s="12" t="s">
        <v>18</v>
      </c>
      <c r="C17" s="12"/>
      <c r="D17" s="13"/>
      <c r="E17" s="14"/>
      <c r="F17" s="14"/>
      <c r="G17" s="14"/>
      <c r="H17" s="15"/>
    </row>
    <row r="18" s="10" customFormat="true" ht="15.75" hidden="false" customHeight="false" outlineLevel="0" collapsed="false">
      <c r="A18" s="5" t="s">
        <v>1</v>
      </c>
      <c r="B18" s="6" t="s">
        <v>19</v>
      </c>
      <c r="C18" s="6"/>
      <c r="D18" s="7"/>
      <c r="E18" s="8"/>
      <c r="F18" s="8"/>
      <c r="G18" s="8"/>
      <c r="H18" s="9"/>
    </row>
    <row r="19" customFormat="false" ht="15" hidden="false" customHeight="false" outlineLevel="0" collapsed="false">
      <c r="A19" s="11" t="s">
        <v>3</v>
      </c>
      <c r="B19" s="17" t="s">
        <v>20</v>
      </c>
      <c r="C19" s="17"/>
      <c r="D19" s="13"/>
      <c r="E19" s="14"/>
      <c r="F19" s="14"/>
      <c r="G19" s="14"/>
      <c r="H19" s="15"/>
    </row>
    <row r="20" customFormat="false" ht="15.75" hidden="false" customHeight="false" outlineLevel="0" collapsed="false">
      <c r="A20" s="11"/>
      <c r="B20" s="19"/>
      <c r="C20" s="19"/>
      <c r="D20" s="13"/>
      <c r="E20" s="14"/>
      <c r="F20" s="14"/>
      <c r="G20" s="14"/>
      <c r="H20" s="15"/>
    </row>
    <row r="21" customFormat="false" ht="15.75" hidden="false" customHeight="false" outlineLevel="0" collapsed="false">
      <c r="A21" s="20" t="s">
        <v>21</v>
      </c>
      <c r="B21" s="20"/>
      <c r="C21" s="20"/>
      <c r="D21" s="20"/>
      <c r="E21" s="20"/>
      <c r="F21" s="20"/>
      <c r="G21" s="20"/>
      <c r="H21" s="21" t="n">
        <v>0.2247</v>
      </c>
    </row>
    <row r="22" customFormat="false" ht="47.25" hidden="false" customHeight="false" outlineLevel="0" collapsed="false">
      <c r="A22" s="22" t="s">
        <v>22</v>
      </c>
      <c r="B22" s="23" t="s">
        <v>23</v>
      </c>
      <c r="C22" s="24" t="s">
        <v>24</v>
      </c>
      <c r="D22" s="24" t="s">
        <v>25</v>
      </c>
      <c r="E22" s="25" t="s">
        <v>26</v>
      </c>
      <c r="F22" s="24" t="s">
        <v>27</v>
      </c>
      <c r="G22" s="24" t="s">
        <v>28</v>
      </c>
      <c r="H22" s="23" t="s">
        <v>29</v>
      </c>
      <c r="I22" s="10"/>
      <c r="J22" s="10"/>
    </row>
    <row r="23" customFormat="false" ht="15.75" hidden="false" customHeight="false" outlineLevel="0" collapsed="false">
      <c r="A23" s="26"/>
      <c r="B23" s="27"/>
      <c r="C23" s="27"/>
      <c r="D23" s="27"/>
      <c r="E23" s="28" t="s">
        <v>30</v>
      </c>
      <c r="F23" s="28"/>
      <c r="G23" s="28"/>
      <c r="H23" s="29" t="n">
        <f aca="false">H161</f>
        <v>446524.89632477</v>
      </c>
    </row>
    <row r="24" customFormat="false" ht="15.75" hidden="false" customHeight="false" outlineLevel="0" collapsed="false">
      <c r="A24" s="30" t="s">
        <v>31</v>
      </c>
      <c r="B24" s="31" t="s">
        <v>32</v>
      </c>
      <c r="C24" s="31"/>
      <c r="D24" s="31"/>
      <c r="E24" s="31"/>
      <c r="F24" s="31"/>
      <c r="G24" s="32" t="n">
        <f aca="false">SUM(G25:G25)</f>
        <v>2105.46</v>
      </c>
      <c r="H24" s="32" t="n">
        <f aca="false">G24*(1+$H$21)</f>
        <v>2578.556862</v>
      </c>
    </row>
    <row r="25" customFormat="false" ht="15" hidden="false" customHeight="false" outlineLevel="0" collapsed="false">
      <c r="A25" s="33" t="s">
        <v>33</v>
      </c>
      <c r="B25" s="34" t="s">
        <v>34</v>
      </c>
      <c r="C25" s="35" t="s">
        <v>35</v>
      </c>
      <c r="D25" s="36" t="s">
        <v>25</v>
      </c>
      <c r="E25" s="36" t="n">
        <v>9</v>
      </c>
      <c r="F25" s="37" t="n">
        <v>233.94</v>
      </c>
      <c r="G25" s="37" t="n">
        <f aca="false">E25*F25</f>
        <v>2105.46</v>
      </c>
      <c r="H25" s="37" t="n">
        <f aca="false">G25*(1+$H$21)</f>
        <v>2578.556862</v>
      </c>
    </row>
    <row r="26" customFormat="false" ht="15.75" hidden="false" customHeight="false" outlineLevel="0" collapsed="false">
      <c r="A26" s="30" t="s">
        <v>36</v>
      </c>
      <c r="B26" s="38" t="s">
        <v>37</v>
      </c>
      <c r="C26" s="38"/>
      <c r="D26" s="38"/>
      <c r="E26" s="39"/>
      <c r="F26" s="40"/>
      <c r="G26" s="32" t="n">
        <f aca="false">SUM(G27,G39)</f>
        <v>140738.6298</v>
      </c>
      <c r="H26" s="32" t="n">
        <f aca="false">G26*(1+$H$21)</f>
        <v>172362.59991606</v>
      </c>
    </row>
    <row r="27" customFormat="false" ht="15.75" hidden="false" customHeight="false" outlineLevel="0" collapsed="false">
      <c r="A27" s="41" t="s">
        <v>38</v>
      </c>
      <c r="B27" s="42" t="s">
        <v>39</v>
      </c>
      <c r="C27" s="42"/>
      <c r="D27" s="42"/>
      <c r="E27" s="43"/>
      <c r="F27" s="44"/>
      <c r="G27" s="45" t="n">
        <f aca="false">SUM(G28:G38)</f>
        <v>35226.6073</v>
      </c>
      <c r="H27" s="45" t="n">
        <f aca="false">G27*(1+$H$21)</f>
        <v>43142.02596031</v>
      </c>
    </row>
    <row r="28" customFormat="false" ht="15" hidden="false" customHeight="false" outlineLevel="0" collapsed="false">
      <c r="A28" s="33" t="s">
        <v>40</v>
      </c>
      <c r="B28" s="34" t="s">
        <v>41</v>
      </c>
      <c r="C28" s="46" t="s">
        <v>42</v>
      </c>
      <c r="D28" s="36" t="s">
        <v>43</v>
      </c>
      <c r="E28" s="36" t="n">
        <f aca="false">414.05+44.6+55+63.1+55+122.94</f>
        <v>754.69</v>
      </c>
      <c r="F28" s="47" t="n">
        <v>13.83</v>
      </c>
      <c r="G28" s="37" t="n">
        <f aca="false">E28*F28</f>
        <v>10437.3627</v>
      </c>
      <c r="H28" s="37" t="n">
        <f aca="false">G28*(1+$H$21)</f>
        <v>12782.63809869</v>
      </c>
    </row>
    <row r="29" customFormat="false" ht="30" hidden="false" customHeight="false" outlineLevel="0" collapsed="false">
      <c r="A29" s="33" t="s">
        <v>44</v>
      </c>
      <c r="B29" s="48" t="s">
        <v>45</v>
      </c>
      <c r="C29" s="46" t="s">
        <v>46</v>
      </c>
      <c r="D29" s="36" t="s">
        <v>43</v>
      </c>
      <c r="E29" s="36" t="n">
        <f aca="false">89.82+10+15+15+25+20</f>
        <v>174.82</v>
      </c>
      <c r="F29" s="49" t="n">
        <v>3.69</v>
      </c>
      <c r="G29" s="37" t="n">
        <f aca="false">E29*F29</f>
        <v>645.0858</v>
      </c>
      <c r="H29" s="37" t="n">
        <f aca="false">G29*(1+$H$21)</f>
        <v>790.03657926</v>
      </c>
    </row>
    <row r="30" customFormat="false" ht="30" hidden="false" customHeight="false" outlineLevel="0" collapsed="false">
      <c r="A30" s="33" t="s">
        <v>47</v>
      </c>
      <c r="B30" s="48" t="s">
        <v>45</v>
      </c>
      <c r="C30" s="46" t="s">
        <v>48</v>
      </c>
      <c r="D30" s="36" t="s">
        <v>43</v>
      </c>
      <c r="E30" s="36" t="n">
        <f aca="false">71.55+10+15+15+15+25</f>
        <v>151.55</v>
      </c>
      <c r="F30" s="49" t="n">
        <v>5.2</v>
      </c>
      <c r="G30" s="37" t="n">
        <f aca="false">E30*F30</f>
        <v>788.06</v>
      </c>
      <c r="H30" s="37" t="n">
        <f aca="false">G30*(1+$H$21)</f>
        <v>965.137082</v>
      </c>
    </row>
    <row r="31" customFormat="false" ht="30" hidden="false" customHeight="false" outlineLevel="0" collapsed="false">
      <c r="A31" s="33" t="s">
        <v>49</v>
      </c>
      <c r="B31" s="34" t="s">
        <v>50</v>
      </c>
      <c r="C31" s="46" t="s">
        <v>51</v>
      </c>
      <c r="D31" s="36" t="s">
        <v>43</v>
      </c>
      <c r="E31" s="36" t="n">
        <f aca="false">71.55+10+15+15+15+25</f>
        <v>151.55</v>
      </c>
      <c r="F31" s="47" t="n">
        <v>54.88</v>
      </c>
      <c r="G31" s="37" t="n">
        <f aca="false">E31*F31</f>
        <v>8317.064</v>
      </c>
      <c r="H31" s="37" t="n">
        <f aca="false">G31*(1+$H$21)</f>
        <v>10185.9082808</v>
      </c>
    </row>
    <row r="32" customFormat="false" ht="30" hidden="false" customHeight="false" outlineLevel="0" collapsed="false">
      <c r="A32" s="33" t="s">
        <v>52</v>
      </c>
      <c r="B32" s="34" t="s">
        <v>53</v>
      </c>
      <c r="C32" s="46" t="s">
        <v>54</v>
      </c>
      <c r="D32" s="36" t="s">
        <v>43</v>
      </c>
      <c r="E32" s="36" t="n">
        <f aca="false">71.55+10+15+15+15+25</f>
        <v>151.55</v>
      </c>
      <c r="F32" s="47" t="n">
        <v>21.39</v>
      </c>
      <c r="G32" s="37" t="n">
        <f aca="false">F32*E32</f>
        <v>3241.6545</v>
      </c>
      <c r="H32" s="37" t="n">
        <f aca="false">G32*(1+$H$21)</f>
        <v>3970.05426615</v>
      </c>
    </row>
    <row r="33" customFormat="false" ht="15" hidden="false" customHeight="false" outlineLevel="0" collapsed="false">
      <c r="A33" s="33" t="s">
        <v>55</v>
      </c>
      <c r="B33" s="34" t="s">
        <v>56</v>
      </c>
      <c r="C33" s="46" t="s">
        <v>57</v>
      </c>
      <c r="D33" s="36" t="s">
        <v>43</v>
      </c>
      <c r="E33" s="36" t="n">
        <f aca="false">61.55+5+10+15+15+10</f>
        <v>116.55</v>
      </c>
      <c r="F33" s="47" t="n">
        <v>12.07</v>
      </c>
      <c r="G33" s="37" t="n">
        <f aca="false">E33*F33</f>
        <v>1406.7585</v>
      </c>
      <c r="H33" s="37" t="n">
        <f aca="false">G33*(1+$H$21)</f>
        <v>1722.85713495</v>
      </c>
    </row>
    <row r="34" customFormat="false" ht="15" hidden="false" customHeight="false" outlineLevel="0" collapsed="false">
      <c r="A34" s="33" t="s">
        <v>58</v>
      </c>
      <c r="B34" s="34" t="s">
        <v>59</v>
      </c>
      <c r="C34" s="46" t="s">
        <v>60</v>
      </c>
      <c r="D34" s="36" t="s">
        <v>61</v>
      </c>
      <c r="E34" s="36" t="n">
        <f aca="false">8+10</f>
        <v>18</v>
      </c>
      <c r="F34" s="47" t="n">
        <v>221.1</v>
      </c>
      <c r="G34" s="37" t="n">
        <f aca="false">E34*F34</f>
        <v>3979.8</v>
      </c>
      <c r="H34" s="37" t="n">
        <f aca="false">G34*(1+$H$21)</f>
        <v>4874.06106</v>
      </c>
    </row>
    <row r="35" customFormat="false" ht="30" hidden="false" customHeight="false" outlineLevel="0" collapsed="false">
      <c r="A35" s="33" t="s">
        <v>62</v>
      </c>
      <c r="B35" s="48" t="s">
        <v>45</v>
      </c>
      <c r="C35" s="46" t="s">
        <v>63</v>
      </c>
      <c r="D35" s="36" t="s">
        <v>61</v>
      </c>
      <c r="E35" s="36" t="n">
        <f aca="false">18</f>
        <v>18</v>
      </c>
      <c r="F35" s="49" t="n">
        <v>11.2</v>
      </c>
      <c r="G35" s="37" t="n">
        <f aca="false">E35*F35</f>
        <v>201.6</v>
      </c>
      <c r="H35" s="37" t="n">
        <f aca="false">G35*(1+$H$21)</f>
        <v>246.89952</v>
      </c>
    </row>
    <row r="36" customFormat="false" ht="30" hidden="false" customHeight="false" outlineLevel="0" collapsed="false">
      <c r="A36" s="33" t="s">
        <v>64</v>
      </c>
      <c r="B36" s="34" t="s">
        <v>65</v>
      </c>
      <c r="C36" s="46" t="s">
        <v>66</v>
      </c>
      <c r="D36" s="36" t="s">
        <v>67</v>
      </c>
      <c r="E36" s="36" t="n">
        <f aca="false">63.04+15+15+20+15</f>
        <v>128.04</v>
      </c>
      <c r="F36" s="47" t="n">
        <v>7.22</v>
      </c>
      <c r="G36" s="37" t="n">
        <f aca="false">E36*F36</f>
        <v>924.4488</v>
      </c>
      <c r="H36" s="37" t="n">
        <f aca="false">G36*(1+$H$21)</f>
        <v>1132.17244536</v>
      </c>
    </row>
    <row r="37" customFormat="false" ht="15" hidden="false" customHeight="false" outlineLevel="0" collapsed="false">
      <c r="A37" s="33" t="s">
        <v>68</v>
      </c>
      <c r="B37" s="34" t="s">
        <v>69</v>
      </c>
      <c r="C37" s="46" t="s">
        <v>70</v>
      </c>
      <c r="D37" s="36" t="s">
        <v>67</v>
      </c>
      <c r="E37" s="36" t="n">
        <f aca="false">19.15+3+5+6+3+15</f>
        <v>51.15</v>
      </c>
      <c r="F37" s="50" t="n">
        <v>65.02</v>
      </c>
      <c r="G37" s="37" t="n">
        <f aca="false">E37*F37</f>
        <v>3325.773</v>
      </c>
      <c r="H37" s="37" t="n">
        <f aca="false">G37*(1+$H$21)</f>
        <v>4073.0741931</v>
      </c>
    </row>
    <row r="38" customFormat="false" ht="30.75" hidden="false" customHeight="false" outlineLevel="0" collapsed="false">
      <c r="A38" s="33" t="s">
        <v>71</v>
      </c>
      <c r="B38" s="34" t="s">
        <v>72</v>
      </c>
      <c r="C38" s="46" t="s">
        <v>73</v>
      </c>
      <c r="D38" s="36" t="s">
        <v>67</v>
      </c>
      <c r="E38" s="36" t="n">
        <f aca="false">90+10</f>
        <v>100</v>
      </c>
      <c r="F38" s="47" t="n">
        <v>19.59</v>
      </c>
      <c r="G38" s="37" t="n">
        <f aca="false">E38*F38</f>
        <v>1959</v>
      </c>
      <c r="H38" s="37" t="n">
        <f aca="false">G38*(1+$H$21)</f>
        <v>2399.1873</v>
      </c>
    </row>
    <row r="39" customFormat="false" ht="15.75" hidden="false" customHeight="false" outlineLevel="0" collapsed="false">
      <c r="A39" s="41" t="s">
        <v>74</v>
      </c>
      <c r="B39" s="51" t="s">
        <v>75</v>
      </c>
      <c r="C39" s="51"/>
      <c r="D39" s="51"/>
      <c r="E39" s="43"/>
      <c r="F39" s="44"/>
      <c r="G39" s="45" t="n">
        <f aca="false">SUM(G40:G53)</f>
        <v>105512.0225</v>
      </c>
      <c r="H39" s="45" t="n">
        <f aca="false">G39*(1+$H$21)</f>
        <v>129220.57395575</v>
      </c>
    </row>
    <row r="40" customFormat="false" ht="15" hidden="false" customHeight="false" outlineLevel="0" collapsed="false">
      <c r="A40" s="33" t="s">
        <v>76</v>
      </c>
      <c r="B40" s="34" t="s">
        <v>77</v>
      </c>
      <c r="C40" s="46" t="s">
        <v>78</v>
      </c>
      <c r="D40" s="36" t="s">
        <v>61</v>
      </c>
      <c r="E40" s="52" t="n">
        <f aca="false">13.24+2.4+3.56+4.27+3+3</f>
        <v>29.47</v>
      </c>
      <c r="F40" s="47" t="n">
        <v>37.6</v>
      </c>
      <c r="G40" s="37" t="n">
        <f aca="false">E40*F40</f>
        <v>1108.072</v>
      </c>
      <c r="H40" s="37" t="n">
        <f aca="false">G40*(1+$H$21)</f>
        <v>1357.0557784</v>
      </c>
    </row>
    <row r="41" customFormat="false" ht="15" hidden="false" customHeight="false" outlineLevel="0" collapsed="false">
      <c r="A41" s="33" t="s">
        <v>79</v>
      </c>
      <c r="B41" s="34" t="s">
        <v>80</v>
      </c>
      <c r="C41" s="46" t="s">
        <v>81</v>
      </c>
      <c r="D41" s="36" t="s">
        <v>43</v>
      </c>
      <c r="E41" s="52" t="n">
        <f aca="false">300.38+63.86+95.04+87.63+58.98+81.74</f>
        <v>687.63</v>
      </c>
      <c r="F41" s="47" t="n">
        <v>7.52</v>
      </c>
      <c r="G41" s="37" t="n">
        <f aca="false">E41*F41</f>
        <v>5170.9776</v>
      </c>
      <c r="H41" s="37" t="n">
        <f aca="false">G41*(1+$H$21)</f>
        <v>6332.89626672</v>
      </c>
    </row>
    <row r="42" customFormat="false" ht="45" hidden="false" customHeight="false" outlineLevel="0" collapsed="false">
      <c r="A42" s="33" t="s">
        <v>82</v>
      </c>
      <c r="B42" s="48" t="s">
        <v>83</v>
      </c>
      <c r="C42" s="53" t="s">
        <v>84</v>
      </c>
      <c r="D42" s="36" t="s">
        <v>43</v>
      </c>
      <c r="E42" s="52" t="n">
        <f aca="false">85.27+15+20+20+15+15</f>
        <v>170.27</v>
      </c>
      <c r="F42" s="47" t="n">
        <v>52.1</v>
      </c>
      <c r="G42" s="37" t="n">
        <f aca="false">E42*F42</f>
        <v>8871.067</v>
      </c>
      <c r="H42" s="37" t="n">
        <f aca="false">G42*(1+$H$21)</f>
        <v>10864.3957549</v>
      </c>
    </row>
    <row r="43" customFormat="false" ht="45" hidden="false" customHeight="false" outlineLevel="0" collapsed="false">
      <c r="A43" s="33" t="s">
        <v>85</v>
      </c>
      <c r="B43" s="34" t="s">
        <v>86</v>
      </c>
      <c r="C43" s="46" t="s">
        <v>87</v>
      </c>
      <c r="D43" s="36" t="s">
        <v>43</v>
      </c>
      <c r="E43" s="52" t="n">
        <f aca="false">170.55+30+40+40+88.98+30</f>
        <v>399.53</v>
      </c>
      <c r="F43" s="47" t="n">
        <v>3.46</v>
      </c>
      <c r="G43" s="37" t="n">
        <f aca="false">E43*F43</f>
        <v>1382.3738</v>
      </c>
      <c r="H43" s="37" t="n">
        <f aca="false">G43*(1+$H$21)</f>
        <v>1692.99319286</v>
      </c>
    </row>
    <row r="44" customFormat="false" ht="60" hidden="false" customHeight="false" outlineLevel="0" collapsed="false">
      <c r="A44" s="33" t="s">
        <v>88</v>
      </c>
      <c r="B44" s="34" t="s">
        <v>89</v>
      </c>
      <c r="C44" s="54" t="s">
        <v>90</v>
      </c>
      <c r="D44" s="36" t="s">
        <v>43</v>
      </c>
      <c r="E44" s="52" t="n">
        <f aca="false">170.55+30+40+40+88.98+30</f>
        <v>399.53</v>
      </c>
      <c r="F44" s="47" t="n">
        <v>30.08</v>
      </c>
      <c r="G44" s="37" t="n">
        <f aca="false">E44*F44</f>
        <v>12017.8624</v>
      </c>
      <c r="H44" s="37" t="n">
        <f aca="false">G44*(1+$H$21)</f>
        <v>14718.27608128</v>
      </c>
    </row>
    <row r="45" customFormat="false" ht="15" hidden="false" customHeight="false" outlineLevel="0" collapsed="false">
      <c r="A45" s="33" t="s">
        <v>91</v>
      </c>
      <c r="B45" s="48" t="s">
        <v>92</v>
      </c>
      <c r="C45" s="53" t="s">
        <v>93</v>
      </c>
      <c r="D45" s="36" t="s">
        <v>43</v>
      </c>
      <c r="E45" s="52" t="n">
        <f aca="false">221.55+30+40+40+88.98+30</f>
        <v>450.53</v>
      </c>
      <c r="F45" s="47" t="n">
        <v>1.94</v>
      </c>
      <c r="G45" s="37" t="n">
        <f aca="false">E45*F45</f>
        <v>874.0282</v>
      </c>
      <c r="H45" s="37" t="n">
        <f aca="false">G45*(1+$H$21)</f>
        <v>1070.42233654</v>
      </c>
    </row>
    <row r="46" customFormat="false" ht="15" hidden="false" customHeight="false" outlineLevel="0" collapsed="false">
      <c r="A46" s="33" t="s">
        <v>94</v>
      </c>
      <c r="B46" s="34" t="s">
        <v>95</v>
      </c>
      <c r="C46" s="46" t="s">
        <v>96</v>
      </c>
      <c r="D46" s="36" t="s">
        <v>43</v>
      </c>
      <c r="E46" s="52" t="n">
        <f aca="false">414.22+65.25+65.5+65.5+88.98+30+85</f>
        <v>814.45</v>
      </c>
      <c r="F46" s="50" t="n">
        <v>11.99</v>
      </c>
      <c r="G46" s="37" t="n">
        <f aca="false">E46*F46</f>
        <v>9765.2555</v>
      </c>
      <c r="H46" s="37" t="n">
        <f aca="false">G46*(1+$H$21)</f>
        <v>11959.50841085</v>
      </c>
    </row>
    <row r="47" customFormat="false" ht="15" hidden="false" customHeight="false" outlineLevel="0" collapsed="false">
      <c r="A47" s="33" t="s">
        <v>97</v>
      </c>
      <c r="B47" s="34" t="s">
        <v>98</v>
      </c>
      <c r="C47" s="46" t="s">
        <v>99</v>
      </c>
      <c r="D47" s="36" t="s">
        <v>43</v>
      </c>
      <c r="E47" s="52" t="n">
        <f aca="false">1716.55+320+475.23+569.2+295+408.7</f>
        <v>3784.68</v>
      </c>
      <c r="F47" s="49" t="n">
        <v>7.9</v>
      </c>
      <c r="G47" s="37" t="n">
        <f aca="false">E47*F47</f>
        <v>29898.972</v>
      </c>
      <c r="H47" s="37" t="n">
        <f aca="false">G47*(1+$H$21)</f>
        <v>36617.2710084</v>
      </c>
    </row>
    <row r="48" customFormat="false" ht="30" hidden="false" customHeight="false" outlineLevel="0" collapsed="false">
      <c r="A48" s="33" t="s">
        <v>100</v>
      </c>
      <c r="B48" s="34" t="s">
        <v>101</v>
      </c>
      <c r="C48" s="46" t="s">
        <v>102</v>
      </c>
      <c r="D48" s="36" t="s">
        <v>43</v>
      </c>
      <c r="E48" s="52" t="n">
        <f aca="false">88.2+12.3+13.73+13.32+15+10</f>
        <v>152.55</v>
      </c>
      <c r="F48" s="47" t="n">
        <v>15.98</v>
      </c>
      <c r="G48" s="37" t="n">
        <f aca="false">E48*F48</f>
        <v>2437.749</v>
      </c>
      <c r="H48" s="37" t="n">
        <f aca="false">G48*(1+$H$21)</f>
        <v>2985.5112003</v>
      </c>
    </row>
    <row r="49" customFormat="false" ht="15" hidden="false" customHeight="false" outlineLevel="0" collapsed="false">
      <c r="A49" s="33" t="s">
        <v>103</v>
      </c>
      <c r="B49" s="34" t="s">
        <v>104</v>
      </c>
      <c r="C49" s="46" t="s">
        <v>105</v>
      </c>
      <c r="D49" s="36" t="s">
        <v>43</v>
      </c>
      <c r="E49" s="52" t="n">
        <f aca="false">587.73+81.8+91.5+88.8+70+115.21</f>
        <v>1035.04</v>
      </c>
      <c r="F49" s="47" t="n">
        <v>13.04</v>
      </c>
      <c r="G49" s="37" t="n">
        <f aca="false">E49*F49</f>
        <v>13496.9216</v>
      </c>
      <c r="H49" s="37" t="n">
        <f aca="false">G49*(1+$H$21)</f>
        <v>16529.67988352</v>
      </c>
      <c r="I49" s="55"/>
    </row>
    <row r="50" customFormat="false" ht="15" hidden="false" customHeight="false" outlineLevel="0" collapsed="false">
      <c r="A50" s="33" t="s">
        <v>106</v>
      </c>
      <c r="B50" s="48" t="s">
        <v>107</v>
      </c>
      <c r="C50" s="46" t="s">
        <v>108</v>
      </c>
      <c r="D50" s="36" t="s">
        <v>43</v>
      </c>
      <c r="E50" s="52" t="n">
        <f aca="false">608.8+27.4+155.44+131.4+150+84.5</f>
        <v>1157.54</v>
      </c>
      <c r="F50" s="50" t="n">
        <v>7.01</v>
      </c>
      <c r="G50" s="37" t="n">
        <f aca="false">E50*F50</f>
        <v>8114.3554</v>
      </c>
      <c r="H50" s="37" t="n">
        <f aca="false">G50*(1+$H$21)</f>
        <v>9937.65105838</v>
      </c>
    </row>
    <row r="51" customFormat="false" ht="30" hidden="false" customHeight="false" outlineLevel="0" collapsed="false">
      <c r="A51" s="33" t="s">
        <v>109</v>
      </c>
      <c r="B51" s="48" t="s">
        <v>45</v>
      </c>
      <c r="C51" s="46" t="s">
        <v>110</v>
      </c>
      <c r="D51" s="36" t="s">
        <v>43</v>
      </c>
      <c r="E51" s="52" t="n">
        <f aca="false">54.8+15+5+15+5+15</f>
        <v>109.8</v>
      </c>
      <c r="F51" s="49" t="n">
        <v>9.75</v>
      </c>
      <c r="G51" s="37" t="n">
        <f aca="false">E51*F51</f>
        <v>1070.55</v>
      </c>
      <c r="H51" s="37" t="n">
        <f aca="false">G51*(1+$H$21)</f>
        <v>1311.102585</v>
      </c>
    </row>
    <row r="52" customFormat="false" ht="45" hidden="false" customHeight="false" outlineLevel="0" collapsed="false">
      <c r="A52" s="33" t="s">
        <v>111</v>
      </c>
      <c r="B52" s="48" t="s">
        <v>112</v>
      </c>
      <c r="C52" s="56" t="s">
        <v>113</v>
      </c>
      <c r="D52" s="36" t="s">
        <v>43</v>
      </c>
      <c r="E52" s="52" t="n">
        <f aca="false">54.8+15+5+15+5+15</f>
        <v>109.8</v>
      </c>
      <c r="F52" s="47" t="n">
        <v>63.81</v>
      </c>
      <c r="G52" s="37" t="n">
        <f aca="false">E52*F52</f>
        <v>7006.338</v>
      </c>
      <c r="H52" s="37" t="n">
        <f aca="false">G52*(1+$H$21)</f>
        <v>8580.6621486</v>
      </c>
    </row>
    <row r="53" customFormat="false" ht="30" hidden="false" customHeight="false" outlineLevel="0" collapsed="false">
      <c r="A53" s="33" t="s">
        <v>114</v>
      </c>
      <c r="B53" s="48" t="s">
        <v>115</v>
      </c>
      <c r="C53" s="57" t="s">
        <v>116</v>
      </c>
      <c r="D53" s="36" t="s">
        <v>67</v>
      </c>
      <c r="E53" s="52" t="n">
        <f aca="false">200+50+50+50+50+50</f>
        <v>450</v>
      </c>
      <c r="F53" s="50" t="n">
        <v>9.55</v>
      </c>
      <c r="G53" s="37" t="n">
        <f aca="false">E53*F53</f>
        <v>4297.5</v>
      </c>
      <c r="H53" s="37" t="n">
        <f aca="false">G53*(1+$H$21)</f>
        <v>5263.14825</v>
      </c>
    </row>
    <row r="54" customFormat="false" ht="15.75" hidden="false" customHeight="false" outlineLevel="0" collapsed="false">
      <c r="A54" s="30" t="s">
        <v>117</v>
      </c>
      <c r="B54" s="38" t="s">
        <v>118</v>
      </c>
      <c r="C54" s="38"/>
      <c r="D54" s="38"/>
      <c r="E54" s="39"/>
      <c r="F54" s="40"/>
      <c r="G54" s="32" t="n">
        <f aca="false">SUM(G55)</f>
        <v>11796.1824</v>
      </c>
      <c r="H54" s="32" t="n">
        <f aca="false">G54*(1+$H$21)</f>
        <v>14446.78458528</v>
      </c>
    </row>
    <row r="55" customFormat="false" ht="15.75" hidden="false" customHeight="false" outlineLevel="0" collapsed="false">
      <c r="A55" s="41" t="s">
        <v>119</v>
      </c>
      <c r="B55" s="51" t="s">
        <v>118</v>
      </c>
      <c r="C55" s="51"/>
      <c r="D55" s="51"/>
      <c r="E55" s="43"/>
      <c r="F55" s="44"/>
      <c r="G55" s="45" t="n">
        <f aca="false">SUM(G56:G63)</f>
        <v>11796.1824</v>
      </c>
      <c r="H55" s="37" t="n">
        <f aca="false">G55*(1+$H$21)</f>
        <v>14446.78458528</v>
      </c>
    </row>
    <row r="56" s="61" customFormat="true" ht="15" hidden="false" customHeight="false" outlineLevel="0" collapsed="false">
      <c r="A56" s="58" t="s">
        <v>120</v>
      </c>
      <c r="B56" s="58" t="s">
        <v>121</v>
      </c>
      <c r="C56" s="59" t="s">
        <v>122</v>
      </c>
      <c r="D56" s="60" t="s">
        <v>43</v>
      </c>
      <c r="E56" s="60" t="n">
        <f aca="false">23.75</f>
        <v>23.75</v>
      </c>
      <c r="F56" s="47" t="n">
        <v>6.88</v>
      </c>
      <c r="G56" s="50" t="n">
        <f aca="false">F56*E56</f>
        <v>163.4</v>
      </c>
      <c r="H56" s="37" t="n">
        <f aca="false">G56*(1+$H$21)</f>
        <v>200.11598</v>
      </c>
    </row>
    <row r="57" s="61" customFormat="true" ht="30" hidden="false" customHeight="false" outlineLevel="0" collapsed="false">
      <c r="A57" s="58" t="s">
        <v>123</v>
      </c>
      <c r="B57" s="34" t="s">
        <v>124</v>
      </c>
      <c r="C57" s="46" t="s">
        <v>125</v>
      </c>
      <c r="D57" s="36" t="s">
        <v>43</v>
      </c>
      <c r="E57" s="36" t="n">
        <f aca="false">23.75</f>
        <v>23.75</v>
      </c>
      <c r="F57" s="47" t="n">
        <v>82.14</v>
      </c>
      <c r="G57" s="37" t="n">
        <f aca="false">E57*F57</f>
        <v>1950.825</v>
      </c>
      <c r="H57" s="37" t="n">
        <f aca="false">G57*(1+$H$21)</f>
        <v>2389.1753775</v>
      </c>
    </row>
    <row r="58" s="61" customFormat="true" ht="15" hidden="false" customHeight="false" outlineLevel="0" collapsed="false">
      <c r="A58" s="58" t="s">
        <v>126</v>
      </c>
      <c r="B58" s="34" t="s">
        <v>127</v>
      </c>
      <c r="C58" s="46" t="s">
        <v>128</v>
      </c>
      <c r="D58" s="36" t="s">
        <v>43</v>
      </c>
      <c r="E58" s="36" t="n">
        <f aca="false">40.5+132.03</f>
        <v>172.53</v>
      </c>
      <c r="F58" s="47" t="n">
        <v>21.46</v>
      </c>
      <c r="G58" s="37" t="n">
        <f aca="false">E58*F58</f>
        <v>3702.4938</v>
      </c>
      <c r="H58" s="37" t="n">
        <f aca="false">G58*(1+$H$21)</f>
        <v>4534.44415686</v>
      </c>
    </row>
    <row r="59" s="61" customFormat="true" ht="15" hidden="false" customHeight="false" outlineLevel="0" collapsed="false">
      <c r="A59" s="58" t="s">
        <v>129</v>
      </c>
      <c r="B59" s="34" t="s">
        <v>130</v>
      </c>
      <c r="C59" s="46" t="s">
        <v>131</v>
      </c>
      <c r="D59" s="36" t="s">
        <v>43</v>
      </c>
      <c r="E59" s="36" t="n">
        <f aca="false">237.17</f>
        <v>237.17</v>
      </c>
      <c r="F59" s="50" t="n">
        <v>12.58</v>
      </c>
      <c r="G59" s="37" t="n">
        <f aca="false">E59*F59</f>
        <v>2983.5986</v>
      </c>
      <c r="H59" s="37" t="n">
        <f aca="false">G59*(1+$H$21)</f>
        <v>3654.01320542</v>
      </c>
    </row>
    <row r="60" customFormat="false" ht="15" hidden="false" customHeight="false" outlineLevel="0" collapsed="false">
      <c r="A60" s="58" t="s">
        <v>132</v>
      </c>
      <c r="B60" s="34" t="s">
        <v>133</v>
      </c>
      <c r="C60" s="46" t="s">
        <v>134</v>
      </c>
      <c r="D60" s="36" t="s">
        <v>43</v>
      </c>
      <c r="E60" s="36" t="n">
        <f aca="false">23.27+9+6.61+15.05+9</f>
        <v>62.93</v>
      </c>
      <c r="F60" s="47" t="n">
        <v>6.55</v>
      </c>
      <c r="G60" s="37" t="n">
        <f aca="false">E60*F60</f>
        <v>412.1915</v>
      </c>
      <c r="H60" s="37" t="n">
        <f aca="false">G60*(1+$H$21)</f>
        <v>504.81093005</v>
      </c>
    </row>
    <row r="61" customFormat="false" ht="30" hidden="false" customHeight="false" outlineLevel="0" collapsed="false">
      <c r="A61" s="58" t="s">
        <v>135</v>
      </c>
      <c r="B61" s="34" t="s">
        <v>136</v>
      </c>
      <c r="C61" s="46" t="s">
        <v>137</v>
      </c>
      <c r="D61" s="36" t="s">
        <v>43</v>
      </c>
      <c r="E61" s="36" t="n">
        <f aca="false">23.27+9+6.61+15.05+9</f>
        <v>62.93</v>
      </c>
      <c r="F61" s="49" t="n">
        <v>36.9</v>
      </c>
      <c r="G61" s="37" t="n">
        <f aca="false">E61*F61</f>
        <v>2322.117</v>
      </c>
      <c r="H61" s="37" t="n">
        <f aca="false">G61*(1+$H$21)</f>
        <v>2843.8966899</v>
      </c>
    </row>
    <row r="62" customFormat="false" ht="30" hidden="false" customHeight="false" outlineLevel="0" collapsed="false">
      <c r="A62" s="58" t="s">
        <v>138</v>
      </c>
      <c r="B62" s="34" t="s">
        <v>139</v>
      </c>
      <c r="C62" s="46" t="s">
        <v>140</v>
      </c>
      <c r="D62" s="36" t="s">
        <v>43</v>
      </c>
      <c r="E62" s="36" t="n">
        <v>6.35</v>
      </c>
      <c r="F62" s="50" t="n">
        <v>22.47</v>
      </c>
      <c r="G62" s="37" t="n">
        <f aca="false">F62*E62</f>
        <v>142.6845</v>
      </c>
      <c r="H62" s="37" t="n">
        <f aca="false">G62*(1+$H$21)</f>
        <v>174.74570715</v>
      </c>
    </row>
    <row r="63" customFormat="false" ht="15" hidden="false" customHeight="false" outlineLevel="0" collapsed="false">
      <c r="A63" s="58" t="s">
        <v>141</v>
      </c>
      <c r="B63" s="34" t="s">
        <v>142</v>
      </c>
      <c r="C63" s="46" t="s">
        <v>143</v>
      </c>
      <c r="D63" s="36" t="s">
        <v>43</v>
      </c>
      <c r="E63" s="36" t="n">
        <v>6.35</v>
      </c>
      <c r="F63" s="47" t="n">
        <v>18.72</v>
      </c>
      <c r="G63" s="37" t="n">
        <f aca="false">F63*E63</f>
        <v>118.872</v>
      </c>
      <c r="H63" s="37" t="n">
        <f aca="false">G63*(1+$H$21)</f>
        <v>145.5825384</v>
      </c>
    </row>
    <row r="64" customFormat="false" ht="15.75" hidden="false" customHeight="false" outlineLevel="0" collapsed="false">
      <c r="A64" s="30" t="s">
        <v>144</v>
      </c>
      <c r="B64" s="38" t="s">
        <v>145</v>
      </c>
      <c r="C64" s="38"/>
      <c r="D64" s="38"/>
      <c r="E64" s="39"/>
      <c r="F64" s="40"/>
      <c r="G64" s="32" t="n">
        <f aca="false">SUM(G65,G74)</f>
        <v>65519.6894</v>
      </c>
      <c r="H64" s="32" t="n">
        <f aca="false">G64*(1+$H$21)</f>
        <v>80241.96360818</v>
      </c>
    </row>
    <row r="65" customFormat="false" ht="15.75" hidden="false" customHeight="false" outlineLevel="0" collapsed="false">
      <c r="A65" s="41" t="s">
        <v>146</v>
      </c>
      <c r="B65" s="51" t="s">
        <v>147</v>
      </c>
      <c r="C65" s="51"/>
      <c r="D65" s="51"/>
      <c r="E65" s="43"/>
      <c r="F65" s="44"/>
      <c r="G65" s="45" t="n">
        <f aca="false">SUM(G66:G73)</f>
        <v>40771.7924</v>
      </c>
      <c r="H65" s="45" t="n">
        <f aca="false">G65*(1+$H$21)</f>
        <v>49933.21415228</v>
      </c>
    </row>
    <row r="66" customFormat="false" ht="60" hidden="false" customHeight="false" outlineLevel="0" collapsed="false">
      <c r="A66" s="33" t="s">
        <v>148</v>
      </c>
      <c r="B66" s="34" t="s">
        <v>149</v>
      </c>
      <c r="C66" s="56" t="s">
        <v>150</v>
      </c>
      <c r="D66" s="36" t="s">
        <v>25</v>
      </c>
      <c r="E66" s="36" t="n">
        <f aca="false">6+1+1+1+1</f>
        <v>10</v>
      </c>
      <c r="F66" s="47" t="n">
        <v>915.84</v>
      </c>
      <c r="G66" s="37" t="n">
        <f aca="false">E66*F66</f>
        <v>9158.4</v>
      </c>
      <c r="H66" s="37" t="n">
        <f aca="false">G66*(1+$H$21)</f>
        <v>11216.29248</v>
      </c>
    </row>
    <row r="67" customFormat="false" ht="60" hidden="false" customHeight="false" outlineLevel="0" collapsed="false">
      <c r="A67" s="33" t="s">
        <v>151</v>
      </c>
      <c r="B67" s="34" t="s">
        <v>152</v>
      </c>
      <c r="C67" s="56" t="s">
        <v>153</v>
      </c>
      <c r="D67" s="36" t="s">
        <v>25</v>
      </c>
      <c r="E67" s="36" t="n">
        <f aca="false">5+1+1</f>
        <v>7</v>
      </c>
      <c r="F67" s="50" t="n">
        <v>678.3</v>
      </c>
      <c r="G67" s="37" t="n">
        <f aca="false">E67*F67</f>
        <v>4748.1</v>
      </c>
      <c r="H67" s="37" t="n">
        <f aca="false">G67*(1+$H$21)</f>
        <v>5814.99807</v>
      </c>
    </row>
    <row r="68" customFormat="false" ht="45" hidden="false" customHeight="false" outlineLevel="0" collapsed="false">
      <c r="A68" s="33" t="s">
        <v>154</v>
      </c>
      <c r="B68" s="34" t="s">
        <v>155</v>
      </c>
      <c r="C68" s="56" t="s">
        <v>156</v>
      </c>
      <c r="D68" s="36" t="s">
        <v>25</v>
      </c>
      <c r="E68" s="36" t="n">
        <f aca="false">5+1+1+1+1</f>
        <v>9</v>
      </c>
      <c r="F68" s="50" t="n">
        <v>700.25</v>
      </c>
      <c r="G68" s="37" t="n">
        <f aca="false">E68*F68</f>
        <v>6302.25</v>
      </c>
      <c r="H68" s="37" t="n">
        <f aca="false">G68*(1+$H$21)</f>
        <v>7718.365575</v>
      </c>
    </row>
    <row r="69" customFormat="false" ht="15" hidden="false" customHeight="false" outlineLevel="0" collapsed="false">
      <c r="A69" s="33" t="s">
        <v>157</v>
      </c>
      <c r="B69" s="34" t="s">
        <v>158</v>
      </c>
      <c r="C69" s="56" t="s">
        <v>159</v>
      </c>
      <c r="D69" s="36" t="s">
        <v>43</v>
      </c>
      <c r="E69" s="36" t="n">
        <f aca="false">82.1+17.4+21+9.7+35+72.08</f>
        <v>237.28</v>
      </c>
      <c r="F69" s="47" t="n">
        <v>8.56</v>
      </c>
      <c r="G69" s="37" t="n">
        <f aca="false">E69*F69</f>
        <v>2031.1168</v>
      </c>
      <c r="H69" s="37" t="n">
        <f aca="false">G69*(1+$H$21)</f>
        <v>2487.50874496</v>
      </c>
    </row>
    <row r="70" customFormat="false" ht="15" hidden="false" customHeight="false" outlineLevel="0" collapsed="false">
      <c r="A70" s="33" t="s">
        <v>160</v>
      </c>
      <c r="B70" s="34" t="s">
        <v>142</v>
      </c>
      <c r="C70" s="46" t="s">
        <v>143</v>
      </c>
      <c r="D70" s="36" t="s">
        <v>43</v>
      </c>
      <c r="E70" s="36" t="n">
        <f aca="false">82.1+17.4+21+9.7+35+20</f>
        <v>185.2</v>
      </c>
      <c r="F70" s="47" t="n">
        <v>18.72</v>
      </c>
      <c r="G70" s="37" t="n">
        <f aca="false">E70*F70</f>
        <v>3466.944</v>
      </c>
      <c r="H70" s="37" t="n">
        <f aca="false">G70*(1+$H$21)</f>
        <v>4245.9663168</v>
      </c>
    </row>
    <row r="71" customFormat="false" ht="30" hidden="false" customHeight="false" outlineLevel="0" collapsed="false">
      <c r="A71" s="33" t="s">
        <v>161</v>
      </c>
      <c r="B71" s="34" t="s">
        <v>139</v>
      </c>
      <c r="C71" s="46" t="s">
        <v>162</v>
      </c>
      <c r="D71" s="36" t="s">
        <v>43</v>
      </c>
      <c r="E71" s="36" t="n">
        <f aca="false">261.2+36.3+74+100.7+35+72.08</f>
        <v>579.28</v>
      </c>
      <c r="F71" s="50" t="n">
        <v>22.47</v>
      </c>
      <c r="G71" s="37" t="n">
        <f aca="false">E71*F71</f>
        <v>13016.4216</v>
      </c>
      <c r="H71" s="37" t="n">
        <f aca="false">G71*(1+$H$21)</f>
        <v>15941.21153352</v>
      </c>
    </row>
    <row r="72" customFormat="false" ht="15" hidden="false" customHeight="false" outlineLevel="0" collapsed="false">
      <c r="A72" s="33" t="s">
        <v>163</v>
      </c>
      <c r="B72" s="48" t="s">
        <v>164</v>
      </c>
      <c r="C72" s="56" t="s">
        <v>165</v>
      </c>
      <c r="D72" s="36" t="s">
        <v>25</v>
      </c>
      <c r="E72" s="36" t="n">
        <f aca="false">14+3+3+3+3+3</f>
        <v>29</v>
      </c>
      <c r="F72" s="47" t="n">
        <v>8.87</v>
      </c>
      <c r="G72" s="37" t="n">
        <f aca="false">E72*F72</f>
        <v>257.23</v>
      </c>
      <c r="H72" s="37" t="n">
        <f aca="false">G72*(1+$H$21)</f>
        <v>315.029581</v>
      </c>
    </row>
    <row r="73" customFormat="false" ht="30" hidden="false" customHeight="false" outlineLevel="0" collapsed="false">
      <c r="A73" s="33" t="s">
        <v>166</v>
      </c>
      <c r="B73" s="48" t="s">
        <v>167</v>
      </c>
      <c r="C73" s="56" t="s">
        <v>168</v>
      </c>
      <c r="D73" s="36" t="s">
        <v>25</v>
      </c>
      <c r="E73" s="36" t="n">
        <f aca="false">14+3+3+3+3+3</f>
        <v>29</v>
      </c>
      <c r="F73" s="49" t="n">
        <v>61.77</v>
      </c>
      <c r="G73" s="37" t="n">
        <f aca="false">E73*F73</f>
        <v>1791.33</v>
      </c>
      <c r="H73" s="37" t="n">
        <f aca="false">G73*(1+$H$21)</f>
        <v>2193.841851</v>
      </c>
    </row>
    <row r="74" customFormat="false" ht="15.75" hidden="false" customHeight="false" outlineLevel="0" collapsed="false">
      <c r="A74" s="41" t="s">
        <v>169</v>
      </c>
      <c r="B74" s="51" t="s">
        <v>170</v>
      </c>
      <c r="C74" s="51"/>
      <c r="D74" s="51"/>
      <c r="E74" s="43"/>
      <c r="F74" s="45"/>
      <c r="G74" s="45" t="n">
        <f aca="false">SUM(G75:G77)</f>
        <v>24747.897</v>
      </c>
      <c r="H74" s="45" t="n">
        <f aca="false">G74*(1+$H$21)</f>
        <v>30308.7494559</v>
      </c>
    </row>
    <row r="75" customFormat="false" ht="30" hidden="false" customHeight="false" outlineLevel="0" collapsed="false">
      <c r="A75" s="33" t="s">
        <v>171</v>
      </c>
      <c r="B75" s="34" t="s">
        <v>172</v>
      </c>
      <c r="C75" s="46" t="s">
        <v>173</v>
      </c>
      <c r="D75" s="36" t="s">
        <v>43</v>
      </c>
      <c r="E75" s="36" t="n">
        <f aca="false">254.33+32+49.64+52+26+45.36</f>
        <v>459.33</v>
      </c>
      <c r="F75" s="47" t="n">
        <v>9.09</v>
      </c>
      <c r="G75" s="37" t="n">
        <f aca="false">F75*E75</f>
        <v>4175.3097</v>
      </c>
      <c r="H75" s="37" t="n">
        <f aca="false">G75*(1+$H$21)</f>
        <v>5113.50178959</v>
      </c>
    </row>
    <row r="76" customFormat="false" ht="30" hidden="false" customHeight="false" outlineLevel="0" collapsed="false">
      <c r="A76" s="33" t="s">
        <v>174</v>
      </c>
      <c r="B76" s="34" t="s">
        <v>175</v>
      </c>
      <c r="C76" s="46" t="s">
        <v>176</v>
      </c>
      <c r="D76" s="36" t="s">
        <v>43</v>
      </c>
      <c r="E76" s="36" t="n">
        <f aca="false">254.33+32+49.64+52+26+45.36</f>
        <v>459.33</v>
      </c>
      <c r="F76" s="47" t="n">
        <v>37.81</v>
      </c>
      <c r="G76" s="37" t="n">
        <f aca="false">E76*F76</f>
        <v>17367.2673</v>
      </c>
      <c r="H76" s="37" t="n">
        <f aca="false">G76*(1+$H$21)</f>
        <v>21269.69226231</v>
      </c>
    </row>
    <row r="77" customFormat="false" ht="15" hidden="false" customHeight="false" outlineLevel="0" collapsed="false">
      <c r="A77" s="33" t="s">
        <v>177</v>
      </c>
      <c r="B77" s="34" t="s">
        <v>136</v>
      </c>
      <c r="C77" s="46" t="s">
        <v>178</v>
      </c>
      <c r="D77" s="36" t="s">
        <v>25</v>
      </c>
      <c r="E77" s="36" t="n">
        <f aca="false">3+1</f>
        <v>4</v>
      </c>
      <c r="F77" s="47" t="n">
        <v>801.33</v>
      </c>
      <c r="G77" s="37" t="n">
        <f aca="false">F77*E77</f>
        <v>3205.32</v>
      </c>
      <c r="H77" s="37" t="n">
        <f aca="false">G77*(1+$H$21)</f>
        <v>3925.555404</v>
      </c>
    </row>
    <row r="78" customFormat="false" ht="15.75" hidden="false" customHeight="false" outlineLevel="0" collapsed="false">
      <c r="A78" s="30" t="s">
        <v>179</v>
      </c>
      <c r="B78" s="38" t="s">
        <v>180</v>
      </c>
      <c r="C78" s="38"/>
      <c r="D78" s="38"/>
      <c r="E78" s="39"/>
      <c r="F78" s="40"/>
      <c r="G78" s="32" t="n">
        <f aca="false">SUM(G79)</f>
        <v>55227.68</v>
      </c>
      <c r="H78" s="32" t="n">
        <f aca="false">G78*(1+$H$21)</f>
        <v>67637.339696</v>
      </c>
    </row>
    <row r="79" customFormat="false" ht="15.75" hidden="false" customHeight="false" outlineLevel="0" collapsed="false">
      <c r="A79" s="41" t="s">
        <v>181</v>
      </c>
      <c r="B79" s="51" t="s">
        <v>182</v>
      </c>
      <c r="C79" s="51"/>
      <c r="D79" s="51"/>
      <c r="E79" s="43"/>
      <c r="F79" s="44"/>
      <c r="G79" s="45" t="n">
        <f aca="false">SUM(G80:G105)</f>
        <v>55227.68</v>
      </c>
      <c r="H79" s="45" t="n">
        <f aca="false">G79*(1+$H$21)</f>
        <v>67637.339696</v>
      </c>
    </row>
    <row r="80" customFormat="false" ht="15" hidden="false" customHeight="false" outlineLevel="0" collapsed="false">
      <c r="A80" s="33" t="s">
        <v>183</v>
      </c>
      <c r="B80" s="34" t="s">
        <v>184</v>
      </c>
      <c r="C80" s="46" t="s">
        <v>185</v>
      </c>
      <c r="D80" s="36" t="s">
        <v>25</v>
      </c>
      <c r="E80" s="36" t="n">
        <f aca="false">23+36+3+10</f>
        <v>72</v>
      </c>
      <c r="F80" s="47" t="n">
        <v>12.19</v>
      </c>
      <c r="G80" s="37" t="n">
        <f aca="false">E80*F80</f>
        <v>877.68</v>
      </c>
      <c r="H80" s="37" t="n">
        <f aca="false">G80*(1+$H$21)</f>
        <v>1074.894696</v>
      </c>
    </row>
    <row r="81" customFormat="false" ht="15" hidden="false" customHeight="false" outlineLevel="0" collapsed="false">
      <c r="A81" s="33" t="s">
        <v>186</v>
      </c>
      <c r="B81" s="34" t="s">
        <v>187</v>
      </c>
      <c r="C81" s="46" t="s">
        <v>188</v>
      </c>
      <c r="D81" s="36" t="s">
        <v>25</v>
      </c>
      <c r="E81" s="36" t="n">
        <f aca="false">22+6+10+19+12</f>
        <v>69</v>
      </c>
      <c r="F81" s="47" t="n">
        <v>4.97</v>
      </c>
      <c r="G81" s="37" t="n">
        <f aca="false">E81*F81</f>
        <v>342.93</v>
      </c>
      <c r="H81" s="37" t="n">
        <f aca="false">G81*(1+$H$21)</f>
        <v>419.986371</v>
      </c>
    </row>
    <row r="82" customFormat="false" ht="15" hidden="false" customHeight="false" outlineLevel="0" collapsed="false">
      <c r="A82" s="33" t="s">
        <v>189</v>
      </c>
      <c r="B82" s="34" t="s">
        <v>190</v>
      </c>
      <c r="C82" s="46" t="s">
        <v>191</v>
      </c>
      <c r="D82" s="36" t="s">
        <v>25</v>
      </c>
      <c r="E82" s="36" t="n">
        <f aca="false">24+2+2+3+3</f>
        <v>34</v>
      </c>
      <c r="F82" s="50" t="n">
        <v>24.46</v>
      </c>
      <c r="G82" s="37" t="n">
        <f aca="false">E82*F82</f>
        <v>831.64</v>
      </c>
      <c r="H82" s="37" t="n">
        <f aca="false">G82*(1+$H$21)</f>
        <v>1018.509508</v>
      </c>
    </row>
    <row r="83" customFormat="false" ht="15" hidden="false" customHeight="false" outlineLevel="0" collapsed="false">
      <c r="A83" s="33" t="s">
        <v>192</v>
      </c>
      <c r="B83" s="34" t="s">
        <v>193</v>
      </c>
      <c r="C83" s="46" t="s">
        <v>194</v>
      </c>
      <c r="D83" s="36" t="s">
        <v>25</v>
      </c>
      <c r="E83" s="36" t="n">
        <f aca="false">29+4+8+16+10</f>
        <v>67</v>
      </c>
      <c r="F83" s="47" t="n">
        <v>32.47</v>
      </c>
      <c r="G83" s="37" t="n">
        <f aca="false">E83*F83</f>
        <v>2175.49</v>
      </c>
      <c r="H83" s="37" t="n">
        <f aca="false">G83*(1+$H$21)</f>
        <v>2664.322603</v>
      </c>
    </row>
    <row r="84" customFormat="false" ht="15" hidden="false" customHeight="false" outlineLevel="0" collapsed="false">
      <c r="A84" s="33" t="s">
        <v>195</v>
      </c>
      <c r="B84" s="62" t="n">
        <v>83469</v>
      </c>
      <c r="C84" s="46" t="s">
        <v>196</v>
      </c>
      <c r="D84" s="36" t="s">
        <v>25</v>
      </c>
      <c r="E84" s="36" t="n">
        <f aca="false">47+16+10+8+32+20</f>
        <v>133</v>
      </c>
      <c r="F84" s="47" t="n">
        <v>8.17</v>
      </c>
      <c r="G84" s="37" t="n">
        <f aca="false">E84*F84</f>
        <v>1086.61</v>
      </c>
      <c r="H84" s="37" t="n">
        <f aca="false">G84*(1+$H$21)</f>
        <v>1330.771267</v>
      </c>
    </row>
    <row r="85" customFormat="false" ht="15" hidden="false" customHeight="false" outlineLevel="0" collapsed="false">
      <c r="A85" s="33" t="s">
        <v>197</v>
      </c>
      <c r="B85" s="62" t="n">
        <v>83468</v>
      </c>
      <c r="C85" s="46" t="s">
        <v>198</v>
      </c>
      <c r="D85" s="36" t="s">
        <v>25</v>
      </c>
      <c r="E85" s="36" t="n">
        <f aca="false">34+6+2+6+6</f>
        <v>54</v>
      </c>
      <c r="F85" s="47" t="n">
        <v>8.17</v>
      </c>
      <c r="G85" s="37" t="n">
        <f aca="false">E85*F85</f>
        <v>441.18</v>
      </c>
      <c r="H85" s="37" t="n">
        <f aca="false">G85*(1+$H$21)</f>
        <v>540.313146</v>
      </c>
    </row>
    <row r="86" customFormat="false" ht="30" hidden="false" customHeight="false" outlineLevel="0" collapsed="false">
      <c r="A86" s="33" t="s">
        <v>199</v>
      </c>
      <c r="B86" s="62" t="n">
        <v>91953</v>
      </c>
      <c r="C86" s="46" t="s">
        <v>200</v>
      </c>
      <c r="D86" s="36" t="s">
        <v>25</v>
      </c>
      <c r="E86" s="36" t="n">
        <f aca="false">16+3+4+4+3</f>
        <v>30</v>
      </c>
      <c r="F86" s="47" t="n">
        <v>20.61</v>
      </c>
      <c r="G86" s="37" t="n">
        <f aca="false">E86*F86</f>
        <v>618.3</v>
      </c>
      <c r="H86" s="37" t="n">
        <f aca="false">G86*(1+$H$21)</f>
        <v>757.23201</v>
      </c>
    </row>
    <row r="87" customFormat="false" ht="30" hidden="false" customHeight="false" outlineLevel="0" collapsed="false">
      <c r="A87" s="33" t="s">
        <v>201</v>
      </c>
      <c r="B87" s="62" t="n">
        <v>91959</v>
      </c>
      <c r="C87" s="46" t="s">
        <v>202</v>
      </c>
      <c r="D87" s="36" t="s">
        <v>25</v>
      </c>
      <c r="E87" s="36" t="n">
        <f aca="false">10+2+2+2+1</f>
        <v>17</v>
      </c>
      <c r="F87" s="47" t="n">
        <v>32.65</v>
      </c>
      <c r="G87" s="37" t="n">
        <f aca="false">E87*F87</f>
        <v>555.05</v>
      </c>
      <c r="H87" s="37" t="n">
        <f aca="false">G87*(1+$H$21)</f>
        <v>679.769735</v>
      </c>
    </row>
    <row r="88" customFormat="false" ht="30" hidden="false" customHeight="false" outlineLevel="0" collapsed="false">
      <c r="A88" s="33" t="s">
        <v>203</v>
      </c>
      <c r="B88" s="62" t="s">
        <v>204</v>
      </c>
      <c r="C88" s="46" t="s">
        <v>205</v>
      </c>
      <c r="D88" s="36" t="s">
        <v>25</v>
      </c>
      <c r="E88" s="36" t="n">
        <f aca="false">9+2+2+2+3</f>
        <v>18</v>
      </c>
      <c r="F88" s="47" t="n">
        <v>151.81</v>
      </c>
      <c r="G88" s="37" t="n">
        <f aca="false">E88*F88</f>
        <v>2732.58</v>
      </c>
      <c r="H88" s="37" t="n">
        <f aca="false">G88*(1+$H$21)</f>
        <v>3346.590726</v>
      </c>
    </row>
    <row r="89" customFormat="false" ht="30" hidden="false" customHeight="false" outlineLevel="0" collapsed="false">
      <c r="A89" s="33" t="s">
        <v>206</v>
      </c>
      <c r="B89" s="62" t="s">
        <v>207</v>
      </c>
      <c r="C89" s="46" t="s">
        <v>208</v>
      </c>
      <c r="D89" s="36" t="s">
        <v>25</v>
      </c>
      <c r="E89" s="36" t="n">
        <f aca="false">19+4+8+8+5</f>
        <v>44</v>
      </c>
      <c r="F89" s="49" t="n">
        <v>106.57</v>
      </c>
      <c r="G89" s="37" t="n">
        <f aca="false">E89*F89</f>
        <v>4689.08</v>
      </c>
      <c r="H89" s="37" t="n">
        <f aca="false">G89*(1+$H$21)</f>
        <v>5742.716276</v>
      </c>
    </row>
    <row r="90" customFormat="false" ht="30" hidden="false" customHeight="false" outlineLevel="0" collapsed="false">
      <c r="A90" s="33" t="s">
        <v>209</v>
      </c>
      <c r="B90" s="48" t="s">
        <v>210</v>
      </c>
      <c r="C90" s="53" t="s">
        <v>211</v>
      </c>
      <c r="D90" s="36" t="s">
        <v>25</v>
      </c>
      <c r="E90" s="36" t="n">
        <f aca="false">10+2+2+2+3</f>
        <v>19</v>
      </c>
      <c r="F90" s="47" t="n">
        <v>27.29</v>
      </c>
      <c r="G90" s="37" t="n">
        <f aca="false">E90*F90</f>
        <v>518.51</v>
      </c>
      <c r="H90" s="37" t="n">
        <f aca="false">G90*(1+$H$21)</f>
        <v>635.019197</v>
      </c>
    </row>
    <row r="91" customFormat="false" ht="45" hidden="false" customHeight="false" outlineLevel="0" collapsed="false">
      <c r="A91" s="33" t="s">
        <v>212</v>
      </c>
      <c r="B91" s="62" t="n">
        <v>83479</v>
      </c>
      <c r="C91" s="53" t="s">
        <v>213</v>
      </c>
      <c r="D91" s="36" t="s">
        <v>25</v>
      </c>
      <c r="E91" s="36" t="n">
        <f aca="false">14+2+2+2+2</f>
        <v>22</v>
      </c>
      <c r="F91" s="47" t="n">
        <v>223.92</v>
      </c>
      <c r="G91" s="37" t="n">
        <f aca="false">E91*F91</f>
        <v>4926.24</v>
      </c>
      <c r="H91" s="37" t="n">
        <f aca="false">G91*(1+$H$21)</f>
        <v>6033.166128</v>
      </c>
    </row>
    <row r="92" customFormat="false" ht="30" hidden="false" customHeight="false" outlineLevel="0" collapsed="false">
      <c r="A92" s="33" t="s">
        <v>214</v>
      </c>
      <c r="B92" s="62" t="n">
        <v>91836</v>
      </c>
      <c r="C92" s="46" t="s">
        <v>215</v>
      </c>
      <c r="D92" s="36" t="s">
        <v>67</v>
      </c>
      <c r="E92" s="36" t="n">
        <f aca="false">250+50+50+50+50</f>
        <v>450</v>
      </c>
      <c r="F92" s="47" t="n">
        <v>10.26</v>
      </c>
      <c r="G92" s="37" t="n">
        <f aca="false">E92*F92</f>
        <v>4617</v>
      </c>
      <c r="H92" s="37" t="n">
        <f aca="false">G92*(1+$H$21)</f>
        <v>5654.4399</v>
      </c>
    </row>
    <row r="93" customFormat="false" ht="30" hidden="false" customHeight="false" outlineLevel="0" collapsed="false">
      <c r="A93" s="33" t="s">
        <v>216</v>
      </c>
      <c r="B93" s="62" t="n">
        <v>91856</v>
      </c>
      <c r="C93" s="53" t="s">
        <v>217</v>
      </c>
      <c r="D93" s="36" t="s">
        <v>67</v>
      </c>
      <c r="E93" s="36" t="n">
        <f aca="false">250+50+50+50+50</f>
        <v>450</v>
      </c>
      <c r="F93" s="47" t="n">
        <v>9.3</v>
      </c>
      <c r="G93" s="37" t="n">
        <f aca="false">E93*F93</f>
        <v>4185</v>
      </c>
      <c r="H93" s="37" t="n">
        <f aca="false">G93*(1+$H$21)</f>
        <v>5125.3695</v>
      </c>
    </row>
    <row r="94" customFormat="false" ht="30" hidden="false" customHeight="false" outlineLevel="0" collapsed="false">
      <c r="A94" s="33" t="s">
        <v>218</v>
      </c>
      <c r="B94" s="62" t="n">
        <v>91924</v>
      </c>
      <c r="C94" s="53" t="s">
        <v>219</v>
      </c>
      <c r="D94" s="36" t="s">
        <v>67</v>
      </c>
      <c r="E94" s="36" t="n">
        <f aca="false">400+100+100+100+100+100</f>
        <v>900</v>
      </c>
      <c r="F94" s="47" t="n">
        <v>2.69</v>
      </c>
      <c r="G94" s="37" t="n">
        <f aca="false">E94*F94</f>
        <v>2421</v>
      </c>
      <c r="H94" s="37" t="n">
        <f aca="false">G94*(1+$H$21)</f>
        <v>2964.9987</v>
      </c>
    </row>
    <row r="95" customFormat="false" ht="30" hidden="false" customHeight="false" outlineLevel="0" collapsed="false">
      <c r="A95" s="33" t="s">
        <v>220</v>
      </c>
      <c r="B95" s="62" t="n">
        <v>91926</v>
      </c>
      <c r="C95" s="53" t="s">
        <v>221</v>
      </c>
      <c r="D95" s="36" t="s">
        <v>67</v>
      </c>
      <c r="E95" s="36" t="n">
        <f aca="false">500+100+100+100+100</f>
        <v>900</v>
      </c>
      <c r="F95" s="47" t="n">
        <v>4.01</v>
      </c>
      <c r="G95" s="37" t="n">
        <f aca="false">E95*F95</f>
        <v>3609</v>
      </c>
      <c r="H95" s="37" t="n">
        <f aca="false">G95*(1+$H$21)</f>
        <v>4419.9423</v>
      </c>
    </row>
    <row r="96" customFormat="false" ht="30" hidden="false" customHeight="false" outlineLevel="0" collapsed="false">
      <c r="A96" s="33" t="s">
        <v>222</v>
      </c>
      <c r="B96" s="62" t="n">
        <v>91929</v>
      </c>
      <c r="C96" s="53" t="s">
        <v>223</v>
      </c>
      <c r="D96" s="36" t="s">
        <v>67</v>
      </c>
      <c r="E96" s="36" t="n">
        <f aca="false">450+50+50+50+50</f>
        <v>650</v>
      </c>
      <c r="F96" s="47" t="n">
        <v>7.7</v>
      </c>
      <c r="G96" s="37" t="n">
        <f aca="false">E96*F96</f>
        <v>5005</v>
      </c>
      <c r="H96" s="37" t="n">
        <f aca="false">G96*(1+$H$21)</f>
        <v>6129.6235</v>
      </c>
    </row>
    <row r="97" customFormat="false" ht="30" hidden="false" customHeight="false" outlineLevel="0" collapsed="false">
      <c r="A97" s="33" t="s">
        <v>224</v>
      </c>
      <c r="B97" s="62" t="n">
        <v>91932</v>
      </c>
      <c r="C97" s="53" t="s">
        <v>225</v>
      </c>
      <c r="D97" s="36" t="s">
        <v>67</v>
      </c>
      <c r="E97" s="36" t="n">
        <f aca="false">250+50+50+50+50</f>
        <v>450</v>
      </c>
      <c r="F97" s="47" t="n">
        <v>15.36</v>
      </c>
      <c r="G97" s="37" t="n">
        <f aca="false">E97*F97</f>
        <v>6912</v>
      </c>
      <c r="H97" s="37" t="n">
        <f aca="false">G97*(1+$H$21)</f>
        <v>8465.1264</v>
      </c>
    </row>
    <row r="98" customFormat="false" ht="30" hidden="false" customHeight="false" outlineLevel="0" collapsed="false">
      <c r="A98" s="33" t="s">
        <v>226</v>
      </c>
      <c r="B98" s="62" t="n">
        <v>92001</v>
      </c>
      <c r="C98" s="46" t="s">
        <v>227</v>
      </c>
      <c r="D98" s="36" t="s">
        <v>25</v>
      </c>
      <c r="E98" s="36" t="n">
        <f aca="false">20+4+5+2+7</f>
        <v>38</v>
      </c>
      <c r="F98" s="47" t="n">
        <v>23.82</v>
      </c>
      <c r="G98" s="37" t="n">
        <f aca="false">E98*F98</f>
        <v>905.16</v>
      </c>
      <c r="H98" s="37" t="n">
        <f aca="false">G98*(1+$H$21)</f>
        <v>1108.549452</v>
      </c>
    </row>
    <row r="99" customFormat="false" ht="30" hidden="false" customHeight="false" outlineLevel="0" collapsed="false">
      <c r="A99" s="33" t="s">
        <v>228</v>
      </c>
      <c r="B99" s="62" t="n">
        <v>92009</v>
      </c>
      <c r="C99" s="46" t="s">
        <v>229</v>
      </c>
      <c r="D99" s="36" t="s">
        <v>25</v>
      </c>
      <c r="E99" s="36" t="n">
        <f aca="false">25+6+6+8+8</f>
        <v>53</v>
      </c>
      <c r="F99" s="47" t="n">
        <v>39.03</v>
      </c>
      <c r="G99" s="37" t="n">
        <f aca="false">E99*F99</f>
        <v>2068.59</v>
      </c>
      <c r="H99" s="37" t="n">
        <f aca="false">G99*(1+$H$21)</f>
        <v>2533.402173</v>
      </c>
    </row>
    <row r="100" customFormat="false" ht="30" hidden="false" customHeight="false" outlineLevel="0" collapsed="false">
      <c r="A100" s="33" t="s">
        <v>230</v>
      </c>
      <c r="B100" s="62" t="n">
        <v>91993</v>
      </c>
      <c r="C100" s="46" t="s">
        <v>231</v>
      </c>
      <c r="D100" s="36" t="s">
        <v>25</v>
      </c>
      <c r="E100" s="36" t="n">
        <f aca="false">15+2+2+3+4</f>
        <v>26</v>
      </c>
      <c r="F100" s="50" t="n">
        <v>32.92</v>
      </c>
      <c r="G100" s="37" t="n">
        <f aca="false">E100*F100</f>
        <v>855.92</v>
      </c>
      <c r="H100" s="37" t="n">
        <f aca="false">G100*(1+$H$21)</f>
        <v>1048.245224</v>
      </c>
    </row>
    <row r="101" customFormat="false" ht="30" hidden="false" customHeight="false" outlineLevel="0" collapsed="false">
      <c r="A101" s="33" t="s">
        <v>232</v>
      </c>
      <c r="B101" s="62" t="n">
        <v>92005</v>
      </c>
      <c r="C101" s="46" t="s">
        <v>233</v>
      </c>
      <c r="D101" s="36" t="s">
        <v>25</v>
      </c>
      <c r="E101" s="36" t="n">
        <f aca="false">13+1+2+3+1</f>
        <v>20</v>
      </c>
      <c r="F101" s="49" t="n">
        <v>36.55</v>
      </c>
      <c r="G101" s="37" t="n">
        <f aca="false">E101*F101</f>
        <v>731</v>
      </c>
      <c r="H101" s="37" t="n">
        <f aca="false">G101*(1+$H$21)</f>
        <v>895.2557</v>
      </c>
    </row>
    <row r="102" customFormat="false" ht="30" hidden="false" customHeight="false" outlineLevel="0" collapsed="false">
      <c r="A102" s="63" t="s">
        <v>234</v>
      </c>
      <c r="B102" s="64" t="s">
        <v>235</v>
      </c>
      <c r="C102" s="53" t="s">
        <v>236</v>
      </c>
      <c r="D102" s="60" t="s">
        <v>25</v>
      </c>
      <c r="E102" s="60" t="n">
        <v>15</v>
      </c>
      <c r="F102" s="47" t="n">
        <v>33.64</v>
      </c>
      <c r="G102" s="50" t="n">
        <f aca="false">E102*F102</f>
        <v>504.6</v>
      </c>
      <c r="H102" s="37" t="n">
        <f aca="false">G102*(1+$H$21)</f>
        <v>617.98362</v>
      </c>
    </row>
    <row r="103" customFormat="false" ht="15" hidden="false" customHeight="false" outlineLevel="0" collapsed="false">
      <c r="A103" s="33" t="s">
        <v>237</v>
      </c>
      <c r="B103" s="62" t="s">
        <v>238</v>
      </c>
      <c r="C103" s="46" t="s">
        <v>239</v>
      </c>
      <c r="D103" s="36" t="s">
        <v>67</v>
      </c>
      <c r="E103" s="36" t="n">
        <f aca="false">50+10+10+10+5</f>
        <v>85</v>
      </c>
      <c r="F103" s="47" t="n">
        <v>37.22</v>
      </c>
      <c r="G103" s="37" t="n">
        <f aca="false">E103*F103</f>
        <v>3163.7</v>
      </c>
      <c r="H103" s="37" t="n">
        <f aca="false">G103*(1+$H$21)</f>
        <v>3874.58339</v>
      </c>
    </row>
    <row r="104" customFormat="false" ht="30" hidden="false" customHeight="false" outlineLevel="0" collapsed="false">
      <c r="A104" s="33" t="s">
        <v>240</v>
      </c>
      <c r="B104" s="62" t="s">
        <v>241</v>
      </c>
      <c r="C104" s="53" t="s">
        <v>242</v>
      </c>
      <c r="D104" s="36" t="s">
        <v>25</v>
      </c>
      <c r="E104" s="36" t="n">
        <f aca="false">23+3+3</f>
        <v>29</v>
      </c>
      <c r="F104" s="47" t="n">
        <v>12.38</v>
      </c>
      <c r="G104" s="37" t="n">
        <f aca="false">E104*F104</f>
        <v>359.02</v>
      </c>
      <c r="H104" s="37" t="n">
        <f aca="false">G104*(1+$H$21)</f>
        <v>439.691794</v>
      </c>
    </row>
    <row r="105" customFormat="false" ht="30" hidden="false" customHeight="false" outlineLevel="0" collapsed="false">
      <c r="A105" s="33" t="s">
        <v>243</v>
      </c>
      <c r="B105" s="62" t="s">
        <v>244</v>
      </c>
      <c r="C105" s="53" t="s">
        <v>245</v>
      </c>
      <c r="D105" s="36" t="s">
        <v>25</v>
      </c>
      <c r="E105" s="36" t="n">
        <f aca="false">3+1+1</f>
        <v>5</v>
      </c>
      <c r="F105" s="47" t="n">
        <v>19.08</v>
      </c>
      <c r="G105" s="37" t="n">
        <f aca="false">E105*F105</f>
        <v>95.4</v>
      </c>
      <c r="H105" s="37" t="n">
        <f aca="false">G105*(1+$H$21)</f>
        <v>116.83638</v>
      </c>
    </row>
    <row r="106" customFormat="false" ht="15.75" hidden="false" customHeight="false" outlineLevel="0" collapsed="false">
      <c r="A106" s="30" t="s">
        <v>246</v>
      </c>
      <c r="B106" s="38" t="s">
        <v>247</v>
      </c>
      <c r="C106" s="38"/>
      <c r="D106" s="38"/>
      <c r="E106" s="39"/>
      <c r="F106" s="65"/>
      <c r="G106" s="32" t="n">
        <f aca="false">SUM(G107)</f>
        <v>17617.08</v>
      </c>
      <c r="H106" s="45" t="n">
        <f aca="false">G106*(1+$H$21)</f>
        <v>21575.637876</v>
      </c>
    </row>
    <row r="107" customFormat="false" ht="15.75" hidden="false" customHeight="false" outlineLevel="0" collapsed="false">
      <c r="A107" s="41" t="s">
        <v>248</v>
      </c>
      <c r="B107" s="51" t="s">
        <v>249</v>
      </c>
      <c r="C107" s="51"/>
      <c r="D107" s="51"/>
      <c r="E107" s="43"/>
      <c r="F107" s="66"/>
      <c r="G107" s="45" t="n">
        <f aca="false">SUM(G108:G109)</f>
        <v>17617.08</v>
      </c>
      <c r="H107" s="45" t="n">
        <f aca="false">G107*(1+$H$21)</f>
        <v>21575.637876</v>
      </c>
    </row>
    <row r="108" customFormat="false" ht="30" hidden="false" customHeight="false" outlineLevel="0" collapsed="false">
      <c r="A108" s="33" t="s">
        <v>250</v>
      </c>
      <c r="B108" s="62" t="s">
        <v>251</v>
      </c>
      <c r="C108" s="67" t="s">
        <v>252</v>
      </c>
      <c r="D108" s="36" t="s">
        <v>25</v>
      </c>
      <c r="E108" s="36" t="n">
        <f aca="false">30+3+3+3+3</f>
        <v>42</v>
      </c>
      <c r="F108" s="47" t="n">
        <v>311.94</v>
      </c>
      <c r="G108" s="37" t="n">
        <f aca="false">E108*F108</f>
        <v>13101.48</v>
      </c>
      <c r="H108" s="37" t="n">
        <f aca="false">G108*(1+$H$21)</f>
        <v>16045.382556</v>
      </c>
    </row>
    <row r="109" customFormat="false" ht="15" hidden="false" customHeight="false" outlineLevel="0" collapsed="false">
      <c r="A109" s="33" t="s">
        <v>253</v>
      </c>
      <c r="B109" s="62" t="s">
        <v>254</v>
      </c>
      <c r="C109" s="67" t="s">
        <v>255</v>
      </c>
      <c r="D109" s="36" t="s">
        <v>67</v>
      </c>
      <c r="E109" s="36" t="n">
        <f aca="false">226+25+25+48+100</f>
        <v>424</v>
      </c>
      <c r="F109" s="47" t="n">
        <v>10.65</v>
      </c>
      <c r="G109" s="37" t="n">
        <f aca="false">E109*F109</f>
        <v>4515.6</v>
      </c>
      <c r="H109" s="37" t="n">
        <f aca="false">G109*(1+$H$21)</f>
        <v>5530.25532</v>
      </c>
    </row>
    <row r="110" customFormat="false" ht="15.75" hidden="false" customHeight="false" outlineLevel="0" collapsed="false">
      <c r="A110" s="30" t="s">
        <v>256</v>
      </c>
      <c r="B110" s="38" t="s">
        <v>257</v>
      </c>
      <c r="C110" s="38"/>
      <c r="D110" s="38"/>
      <c r="E110" s="39"/>
      <c r="F110" s="65"/>
      <c r="G110" s="32" t="n">
        <f aca="false">SUM(G111,G114)</f>
        <v>24510.43</v>
      </c>
      <c r="H110" s="45" t="n">
        <f aca="false">G110*(1+$H$21)</f>
        <v>30017.923621</v>
      </c>
    </row>
    <row r="111" customFormat="false" ht="15.75" hidden="false" customHeight="false" outlineLevel="0" collapsed="false">
      <c r="A111" s="41" t="s">
        <v>258</v>
      </c>
      <c r="B111" s="42" t="s">
        <v>259</v>
      </c>
      <c r="C111" s="42"/>
      <c r="D111" s="42"/>
      <c r="E111" s="42"/>
      <c r="F111" s="42"/>
      <c r="G111" s="45" t="n">
        <f aca="false">SUM(G112:G113)</f>
        <v>0</v>
      </c>
      <c r="H111" s="45" t="n">
        <f aca="false">G111*(1+$H$21)</f>
        <v>0</v>
      </c>
    </row>
    <row r="112" customFormat="false" ht="15" hidden="false" customHeight="false" outlineLevel="0" collapsed="false">
      <c r="A112" s="33" t="s">
        <v>260</v>
      </c>
      <c r="B112" s="62"/>
      <c r="C112" s="46"/>
      <c r="D112" s="36"/>
      <c r="E112" s="36"/>
      <c r="F112" s="37"/>
      <c r="G112" s="37" t="n">
        <f aca="false">E112*F112</f>
        <v>0</v>
      </c>
      <c r="H112" s="37" t="n">
        <f aca="false">G112*(1+$H$21)</f>
        <v>0</v>
      </c>
    </row>
    <row r="113" customFormat="false" ht="15" hidden="false" customHeight="false" outlineLevel="0" collapsed="false">
      <c r="A113" s="33" t="s">
        <v>261</v>
      </c>
      <c r="B113" s="34"/>
      <c r="C113" s="68"/>
      <c r="D113" s="36"/>
      <c r="E113" s="36"/>
      <c r="F113" s="37"/>
      <c r="G113" s="37" t="n">
        <f aca="false">E113*F113</f>
        <v>0</v>
      </c>
      <c r="H113" s="37" t="n">
        <f aca="false">G113*(1+$H$21)</f>
        <v>0</v>
      </c>
    </row>
    <row r="114" customFormat="false" ht="15.75" hidden="false" customHeight="false" outlineLevel="0" collapsed="false">
      <c r="A114" s="41" t="s">
        <v>262</v>
      </c>
      <c r="B114" s="51" t="s">
        <v>263</v>
      </c>
      <c r="C114" s="51"/>
      <c r="D114" s="51"/>
      <c r="E114" s="43"/>
      <c r="F114" s="44"/>
      <c r="G114" s="45" t="n">
        <f aca="false">SUM(G115:G137)</f>
        <v>24510.43</v>
      </c>
      <c r="H114" s="45" t="n">
        <f aca="false">G114*(1+$H$21)</f>
        <v>30017.923621</v>
      </c>
    </row>
    <row r="115" customFormat="false" ht="30" hidden="false" customHeight="false" outlineLevel="0" collapsed="false">
      <c r="A115" s="33" t="s">
        <v>264</v>
      </c>
      <c r="B115" s="34" t="s">
        <v>265</v>
      </c>
      <c r="C115" s="46" t="s">
        <v>266</v>
      </c>
      <c r="D115" s="36" t="s">
        <v>67</v>
      </c>
      <c r="E115" s="36" t="n">
        <f aca="false">125</f>
        <v>125</v>
      </c>
      <c r="F115" s="47" t="n">
        <v>17.26</v>
      </c>
      <c r="G115" s="37" t="n">
        <f aca="false">E115*F115</f>
        <v>2157.5</v>
      </c>
      <c r="H115" s="37" t="n">
        <f aca="false">G115*(1+$H$21)</f>
        <v>2642.29025</v>
      </c>
    </row>
    <row r="116" customFormat="false" ht="45" hidden="false" customHeight="false" outlineLevel="0" collapsed="false">
      <c r="A116" s="33" t="s">
        <v>267</v>
      </c>
      <c r="B116" s="34" t="s">
        <v>268</v>
      </c>
      <c r="C116" s="46" t="s">
        <v>269</v>
      </c>
      <c r="D116" s="36" t="s">
        <v>25</v>
      </c>
      <c r="E116" s="36" t="n">
        <f aca="false">9</f>
        <v>9</v>
      </c>
      <c r="F116" s="47" t="n">
        <v>5.31</v>
      </c>
      <c r="G116" s="37" t="n">
        <f aca="false">E116*F116</f>
        <v>47.79</v>
      </c>
      <c r="H116" s="37" t="n">
        <f aca="false">G116*(1+$H$21)</f>
        <v>58.528413</v>
      </c>
    </row>
    <row r="117" customFormat="false" ht="15" hidden="false" customHeight="false" outlineLevel="0" collapsed="false">
      <c r="A117" s="33" t="s">
        <v>270</v>
      </c>
      <c r="B117" s="34" t="s">
        <v>271</v>
      </c>
      <c r="C117" s="46" t="s">
        <v>272</v>
      </c>
      <c r="D117" s="36" t="s">
        <v>25</v>
      </c>
      <c r="E117" s="36" t="n">
        <f aca="false">9</f>
        <v>9</v>
      </c>
      <c r="F117" s="47" t="n">
        <v>121.15</v>
      </c>
      <c r="G117" s="37" t="n">
        <f aca="false">E117*F117</f>
        <v>1090.35</v>
      </c>
      <c r="H117" s="37" t="n">
        <f aca="false">G117*(1+$H$21)</f>
        <v>1335.351645</v>
      </c>
    </row>
    <row r="118" customFormat="false" ht="30" hidden="false" customHeight="false" outlineLevel="0" collapsed="false">
      <c r="A118" s="33" t="s">
        <v>273</v>
      </c>
      <c r="B118" s="34" t="s">
        <v>274</v>
      </c>
      <c r="C118" s="46" t="s">
        <v>275</v>
      </c>
      <c r="D118" s="36" t="s">
        <v>25</v>
      </c>
      <c r="E118" s="36" t="n">
        <v>90</v>
      </c>
      <c r="F118" s="47" t="n">
        <v>9.61</v>
      </c>
      <c r="G118" s="37" t="n">
        <f aca="false">E118*F118</f>
        <v>864.9</v>
      </c>
      <c r="H118" s="37" t="n">
        <f aca="false">G118*(1+$H$21)</f>
        <v>1059.24303</v>
      </c>
    </row>
    <row r="119" customFormat="false" ht="30" hidden="false" customHeight="false" outlineLevel="0" collapsed="false">
      <c r="A119" s="33" t="s">
        <v>276</v>
      </c>
      <c r="B119" s="34" t="s">
        <v>277</v>
      </c>
      <c r="C119" s="46" t="s">
        <v>278</v>
      </c>
      <c r="D119" s="36" t="s">
        <v>25</v>
      </c>
      <c r="E119" s="36" t="n">
        <v>90</v>
      </c>
      <c r="F119" s="47" t="n">
        <v>6.81</v>
      </c>
      <c r="G119" s="37" t="n">
        <f aca="false">E119*F119</f>
        <v>612.9</v>
      </c>
      <c r="H119" s="37" t="n">
        <f aca="false">G119*(1+$H$21)</f>
        <v>750.61863</v>
      </c>
    </row>
    <row r="120" customFormat="false" ht="30" hidden="false" customHeight="false" outlineLevel="0" collapsed="false">
      <c r="A120" s="33" t="s">
        <v>279</v>
      </c>
      <c r="B120" s="34" t="s">
        <v>280</v>
      </c>
      <c r="C120" s="46" t="s">
        <v>281</v>
      </c>
      <c r="D120" s="36" t="s">
        <v>25</v>
      </c>
      <c r="E120" s="36" t="n">
        <v>90</v>
      </c>
      <c r="F120" s="47" t="n">
        <v>5.2</v>
      </c>
      <c r="G120" s="37" t="n">
        <f aca="false">E120*F120</f>
        <v>468</v>
      </c>
      <c r="H120" s="37" t="n">
        <f aca="false">G120*(1+$H$21)</f>
        <v>573.1596</v>
      </c>
    </row>
    <row r="121" customFormat="false" ht="30" hidden="false" customHeight="false" outlineLevel="0" collapsed="false">
      <c r="A121" s="33" t="s">
        <v>282</v>
      </c>
      <c r="B121" s="34" t="s">
        <v>283</v>
      </c>
      <c r="C121" s="46" t="s">
        <v>284</v>
      </c>
      <c r="D121" s="36" t="s">
        <v>25</v>
      </c>
      <c r="E121" s="36" t="n">
        <v>90</v>
      </c>
      <c r="F121" s="47" t="n">
        <v>7.6</v>
      </c>
      <c r="G121" s="37" t="n">
        <f aca="false">E121*F121</f>
        <v>684</v>
      </c>
      <c r="H121" s="37" t="n">
        <f aca="false">G121*(1+$H$21)</f>
        <v>837.6948</v>
      </c>
    </row>
    <row r="122" customFormat="false" ht="30" hidden="false" customHeight="false" outlineLevel="0" collapsed="false">
      <c r="A122" s="33" t="s">
        <v>285</v>
      </c>
      <c r="B122" s="34" t="s">
        <v>286</v>
      </c>
      <c r="C122" s="46" t="s">
        <v>287</v>
      </c>
      <c r="D122" s="36" t="s">
        <v>25</v>
      </c>
      <c r="E122" s="36" t="n">
        <v>80</v>
      </c>
      <c r="F122" s="49" t="n">
        <v>5.16</v>
      </c>
      <c r="G122" s="37" t="n">
        <f aca="false">E122*F122</f>
        <v>412.8</v>
      </c>
      <c r="H122" s="37" t="n">
        <f aca="false">G122*(1+$H$21)</f>
        <v>505.55616</v>
      </c>
    </row>
    <row r="123" customFormat="false" ht="15" hidden="false" customHeight="false" outlineLevel="0" collapsed="false">
      <c r="A123" s="33" t="s">
        <v>288</v>
      </c>
      <c r="B123" s="34" t="s">
        <v>289</v>
      </c>
      <c r="C123" s="46" t="s">
        <v>290</v>
      </c>
      <c r="D123" s="36" t="s">
        <v>25</v>
      </c>
      <c r="E123" s="36" t="n">
        <v>18</v>
      </c>
      <c r="F123" s="47" t="n">
        <v>107.26</v>
      </c>
      <c r="G123" s="37" t="n">
        <f aca="false">E123*F123</f>
        <v>1930.68</v>
      </c>
      <c r="H123" s="37" t="n">
        <f aca="false">G123*(1+$H$21)</f>
        <v>2364.503796</v>
      </c>
      <c r="J123" s="69"/>
    </row>
    <row r="124" customFormat="false" ht="30" hidden="false" customHeight="false" outlineLevel="0" collapsed="false">
      <c r="A124" s="33" t="s">
        <v>291</v>
      </c>
      <c r="B124" s="34" t="s">
        <v>292</v>
      </c>
      <c r="C124" s="46" t="s">
        <v>293</v>
      </c>
      <c r="D124" s="36" t="s">
        <v>67</v>
      </c>
      <c r="E124" s="36" t="n">
        <v>180</v>
      </c>
      <c r="F124" s="47" t="n">
        <v>16.94</v>
      </c>
      <c r="G124" s="37" t="n">
        <f aca="false">E124*F124</f>
        <v>3049.2</v>
      </c>
      <c r="H124" s="37" t="n">
        <f aca="false">G124*(1+$H$21)</f>
        <v>3734.35524</v>
      </c>
    </row>
    <row r="125" customFormat="false" ht="45" hidden="false" customHeight="false" outlineLevel="0" collapsed="false">
      <c r="A125" s="33" t="s">
        <v>294</v>
      </c>
      <c r="B125" s="34" t="s">
        <v>295</v>
      </c>
      <c r="C125" s="46" t="s">
        <v>296</v>
      </c>
      <c r="D125" s="36" t="s">
        <v>25</v>
      </c>
      <c r="E125" s="36" t="n">
        <v>180</v>
      </c>
      <c r="F125" s="47" t="n">
        <v>9.26</v>
      </c>
      <c r="G125" s="37" t="n">
        <f aca="false">E125*F125</f>
        <v>1666.8</v>
      </c>
      <c r="H125" s="37" t="n">
        <f aca="false">G125*(1+$H$21)</f>
        <v>2041.32996</v>
      </c>
    </row>
    <row r="126" customFormat="false" ht="45" hidden="false" customHeight="false" outlineLevel="0" collapsed="false">
      <c r="A126" s="33" t="s">
        <v>297</v>
      </c>
      <c r="B126" s="34" t="s">
        <v>298</v>
      </c>
      <c r="C126" s="46" t="s">
        <v>299</v>
      </c>
      <c r="D126" s="36" t="s">
        <v>25</v>
      </c>
      <c r="E126" s="36" t="n">
        <v>90</v>
      </c>
      <c r="F126" s="47" t="n">
        <v>10.05</v>
      </c>
      <c r="G126" s="37" t="n">
        <f aca="false">E126*F126</f>
        <v>904.5</v>
      </c>
      <c r="H126" s="37" t="n">
        <f aca="false">G126*(1+$H$21)</f>
        <v>1107.74115</v>
      </c>
    </row>
    <row r="127" customFormat="false" ht="45" hidden="false" customHeight="false" outlineLevel="0" collapsed="false">
      <c r="A127" s="33" t="s">
        <v>300</v>
      </c>
      <c r="B127" s="34" t="s">
        <v>301</v>
      </c>
      <c r="C127" s="46" t="s">
        <v>302</v>
      </c>
      <c r="D127" s="36" t="s">
        <v>25</v>
      </c>
      <c r="E127" s="36" t="n">
        <v>90</v>
      </c>
      <c r="F127" s="47" t="n">
        <v>17.46</v>
      </c>
      <c r="G127" s="37" t="n">
        <f aca="false">E127*F127</f>
        <v>1571.4</v>
      </c>
      <c r="H127" s="37" t="n">
        <f aca="false">G127*(1+$H$21)</f>
        <v>1924.49358</v>
      </c>
    </row>
    <row r="128" customFormat="false" ht="30" hidden="false" customHeight="false" outlineLevel="0" collapsed="false">
      <c r="A128" s="33" t="s">
        <v>303</v>
      </c>
      <c r="B128" s="34" t="s">
        <v>304</v>
      </c>
      <c r="C128" s="46" t="s">
        <v>305</v>
      </c>
      <c r="D128" s="36" t="s">
        <v>25</v>
      </c>
      <c r="E128" s="36" t="n">
        <v>90</v>
      </c>
      <c r="F128" s="47" t="n">
        <v>10.59</v>
      </c>
      <c r="G128" s="37" t="n">
        <f aca="false">E128*F128</f>
        <v>953.1</v>
      </c>
      <c r="H128" s="37" t="n">
        <f aca="false">G128*(1+$H$21)</f>
        <v>1167.26157</v>
      </c>
    </row>
    <row r="129" customFormat="false" ht="30" hidden="false" customHeight="false" outlineLevel="0" collapsed="false">
      <c r="A129" s="33" t="s">
        <v>306</v>
      </c>
      <c r="B129" s="34" t="s">
        <v>307</v>
      </c>
      <c r="C129" s="46" t="s">
        <v>308</v>
      </c>
      <c r="D129" s="36" t="s">
        <v>67</v>
      </c>
      <c r="E129" s="36" t="n">
        <v>15</v>
      </c>
      <c r="F129" s="47" t="n">
        <v>49.43</v>
      </c>
      <c r="G129" s="37" t="n">
        <f aca="false">E129*F129</f>
        <v>741.45</v>
      </c>
      <c r="H129" s="37" t="n">
        <f aca="false">G129*(1+$H$21)</f>
        <v>908.053815</v>
      </c>
    </row>
    <row r="130" customFormat="false" ht="30" hidden="false" customHeight="false" outlineLevel="0" collapsed="false">
      <c r="A130" s="33" t="s">
        <v>309</v>
      </c>
      <c r="B130" s="34" t="s">
        <v>310</v>
      </c>
      <c r="C130" s="46" t="s">
        <v>311</v>
      </c>
      <c r="D130" s="36" t="s">
        <v>25</v>
      </c>
      <c r="E130" s="60" t="n">
        <v>18</v>
      </c>
      <c r="F130" s="50" t="n">
        <v>7.75</v>
      </c>
      <c r="G130" s="37" t="n">
        <f aca="false">E130*F130</f>
        <v>139.5</v>
      </c>
      <c r="H130" s="37" t="n">
        <f aca="false">G130*(1+$H$21)</f>
        <v>170.84565</v>
      </c>
    </row>
    <row r="131" customFormat="false" ht="15" hidden="false" customHeight="false" outlineLevel="0" collapsed="false">
      <c r="A131" s="33" t="s">
        <v>312</v>
      </c>
      <c r="B131" s="34" t="s">
        <v>313</v>
      </c>
      <c r="C131" s="46" t="s">
        <v>314</v>
      </c>
      <c r="D131" s="36" t="s">
        <v>25</v>
      </c>
      <c r="E131" s="36" t="n">
        <v>18</v>
      </c>
      <c r="F131" s="47" t="n">
        <v>11.15</v>
      </c>
      <c r="G131" s="37" t="n">
        <f aca="false">E131*F131</f>
        <v>200.7</v>
      </c>
      <c r="H131" s="37" t="n">
        <f aca="false">G131*(1+$H$21)</f>
        <v>245.79729</v>
      </c>
    </row>
    <row r="132" customFormat="false" ht="15" hidden="false" customHeight="false" outlineLevel="0" collapsed="false">
      <c r="A132" s="33" t="s">
        <v>315</v>
      </c>
      <c r="B132" s="70" t="s">
        <v>316</v>
      </c>
      <c r="C132" s="46" t="s">
        <v>317</v>
      </c>
      <c r="D132" s="36" t="s">
        <v>25</v>
      </c>
      <c r="E132" s="36" t="n">
        <v>27</v>
      </c>
      <c r="F132" s="47" t="n">
        <v>16.06</v>
      </c>
      <c r="G132" s="37" t="n">
        <f aca="false">E132*F132</f>
        <v>433.62</v>
      </c>
      <c r="H132" s="37" t="n">
        <f aca="false">G132*(1+$H$21)</f>
        <v>531.054414</v>
      </c>
    </row>
    <row r="133" customFormat="false" ht="30" hidden="false" customHeight="false" outlineLevel="0" collapsed="false">
      <c r="A133" s="33" t="s">
        <v>318</v>
      </c>
      <c r="B133" s="34" t="s">
        <v>319</v>
      </c>
      <c r="C133" s="46" t="s">
        <v>320</v>
      </c>
      <c r="D133" s="36" t="s">
        <v>25</v>
      </c>
      <c r="E133" s="36" t="n">
        <v>9</v>
      </c>
      <c r="F133" s="50" t="n">
        <v>45.39</v>
      </c>
      <c r="G133" s="37" t="n">
        <f aca="false">E133*F133</f>
        <v>408.51</v>
      </c>
      <c r="H133" s="37" t="n">
        <f aca="false">G133*(1+$H$21)</f>
        <v>500.302197</v>
      </c>
    </row>
    <row r="134" customFormat="false" ht="15" hidden="false" customHeight="false" outlineLevel="0" collapsed="false">
      <c r="A134" s="33" t="s">
        <v>321</v>
      </c>
      <c r="B134" s="71" t="s">
        <v>322</v>
      </c>
      <c r="C134" s="46" t="s">
        <v>323</v>
      </c>
      <c r="D134" s="36" t="s">
        <v>25</v>
      </c>
      <c r="E134" s="36" t="n">
        <v>8</v>
      </c>
      <c r="F134" s="47" t="n">
        <v>265.89</v>
      </c>
      <c r="G134" s="37" t="n">
        <f aca="false">E134*F134</f>
        <v>2127.12</v>
      </c>
      <c r="H134" s="37" t="n">
        <f aca="false">G134*(1+$H$21)</f>
        <v>2605.083864</v>
      </c>
    </row>
    <row r="135" customFormat="false" ht="15" hidden="false" customHeight="false" outlineLevel="0" collapsed="false">
      <c r="A135" s="33" t="s">
        <v>324</v>
      </c>
      <c r="B135" s="34" t="s">
        <v>325</v>
      </c>
      <c r="C135" s="46" t="s">
        <v>326</v>
      </c>
      <c r="D135" s="36" t="s">
        <v>25</v>
      </c>
      <c r="E135" s="36" t="n">
        <v>19</v>
      </c>
      <c r="F135" s="47" t="n">
        <v>68.26</v>
      </c>
      <c r="G135" s="37" t="n">
        <f aca="false">E135*F135</f>
        <v>1296.94</v>
      </c>
      <c r="H135" s="37" t="n">
        <f aca="false">G135*(1+$H$21)</f>
        <v>1588.362418</v>
      </c>
    </row>
    <row r="136" customFormat="false" ht="15" hidden="false" customHeight="false" outlineLevel="0" collapsed="false">
      <c r="A136" s="33" t="s">
        <v>327</v>
      </c>
      <c r="B136" s="71" t="s">
        <v>328</v>
      </c>
      <c r="C136" s="46" t="s">
        <v>329</v>
      </c>
      <c r="D136" s="36" t="s">
        <v>25</v>
      </c>
      <c r="E136" s="36" t="n">
        <v>17</v>
      </c>
      <c r="F136" s="49" t="n">
        <v>55.01</v>
      </c>
      <c r="G136" s="37" t="n">
        <f aca="false">E136*F136</f>
        <v>935.17</v>
      </c>
      <c r="H136" s="37" t="n">
        <f aca="false">G136*(1+$H$21)</f>
        <v>1145.302699</v>
      </c>
    </row>
    <row r="137" customFormat="false" ht="15" hidden="false" customHeight="false" outlineLevel="0" collapsed="false">
      <c r="A137" s="33" t="s">
        <v>330</v>
      </c>
      <c r="B137" s="34" t="s">
        <v>34</v>
      </c>
      <c r="C137" s="46" t="s">
        <v>331</v>
      </c>
      <c r="D137" s="36" t="s">
        <v>25</v>
      </c>
      <c r="E137" s="36" t="n">
        <v>15</v>
      </c>
      <c r="F137" s="49" t="n">
        <v>120.9</v>
      </c>
      <c r="G137" s="37" t="n">
        <f aca="false">E137*F137</f>
        <v>1813.5</v>
      </c>
      <c r="H137" s="37" t="n">
        <f aca="false">G137*(1+$H$21)</f>
        <v>2220.99345</v>
      </c>
    </row>
    <row r="138" customFormat="false" ht="15.75" hidden="false" customHeight="false" outlineLevel="0" collapsed="false">
      <c r="A138" s="30" t="s">
        <v>332</v>
      </c>
      <c r="B138" s="38" t="s">
        <v>333</v>
      </c>
      <c r="C138" s="38"/>
      <c r="D138" s="38"/>
      <c r="E138" s="39"/>
      <c r="F138" s="40"/>
      <c r="G138" s="32" t="n">
        <f aca="false">SUM(G139,G144)</f>
        <v>18747.9</v>
      </c>
      <c r="H138" s="32" t="n">
        <f aca="false">G138*(1+H21)</f>
        <v>22960.55313</v>
      </c>
    </row>
    <row r="139" customFormat="false" ht="15.75" hidden="false" customHeight="false" outlineLevel="0" collapsed="false">
      <c r="A139" s="41" t="s">
        <v>334</v>
      </c>
      <c r="B139" s="51" t="s">
        <v>335</v>
      </c>
      <c r="C139" s="51"/>
      <c r="D139" s="51"/>
      <c r="E139" s="43"/>
      <c r="F139" s="44"/>
      <c r="G139" s="45" t="n">
        <f aca="false">SUM(G140:G143)</f>
        <v>11645.5</v>
      </c>
      <c r="H139" s="45" t="n">
        <f aca="false">G139*(1+$H$21)</f>
        <v>14262.24385</v>
      </c>
    </row>
    <row r="140" customFormat="false" ht="15" hidden="false" customHeight="false" outlineLevel="0" collapsed="false">
      <c r="A140" s="33" t="s">
        <v>336</v>
      </c>
      <c r="B140" s="34" t="s">
        <v>337</v>
      </c>
      <c r="C140" s="67" t="s">
        <v>338</v>
      </c>
      <c r="D140" s="36" t="s">
        <v>25</v>
      </c>
      <c r="E140" s="36" t="n">
        <v>14</v>
      </c>
      <c r="F140" s="50" t="n">
        <v>17.05</v>
      </c>
      <c r="G140" s="37" t="n">
        <f aca="false">E140*F140</f>
        <v>238.7</v>
      </c>
      <c r="H140" s="37" t="n">
        <f aca="false">G140*(1+$H$21)</f>
        <v>292.33589</v>
      </c>
    </row>
    <row r="141" customFormat="false" ht="30" hidden="false" customHeight="false" outlineLevel="0" collapsed="false">
      <c r="A141" s="33" t="s">
        <v>339</v>
      </c>
      <c r="B141" s="34" t="s">
        <v>340</v>
      </c>
      <c r="C141" s="67" t="s">
        <v>341</v>
      </c>
      <c r="D141" s="36" t="s">
        <v>25</v>
      </c>
      <c r="E141" s="36" t="n">
        <v>8</v>
      </c>
      <c r="F141" s="50" t="n">
        <v>350.98</v>
      </c>
      <c r="G141" s="37" t="n">
        <f aca="false">E141*F141</f>
        <v>2807.84</v>
      </c>
      <c r="H141" s="37" t="n">
        <f aca="false">G141*(1+$H$21)</f>
        <v>3438.761648</v>
      </c>
    </row>
    <row r="142" customFormat="false" ht="45" hidden="false" customHeight="false" outlineLevel="0" collapsed="false">
      <c r="A142" s="33" t="s">
        <v>342</v>
      </c>
      <c r="B142" s="34" t="s">
        <v>34</v>
      </c>
      <c r="C142" s="67" t="s">
        <v>343</v>
      </c>
      <c r="D142" s="36" t="s">
        <v>25</v>
      </c>
      <c r="E142" s="36" t="n">
        <v>8</v>
      </c>
      <c r="F142" s="49" t="n">
        <v>891.27</v>
      </c>
      <c r="G142" s="37" t="n">
        <f aca="false">E142*F142</f>
        <v>7130.16</v>
      </c>
      <c r="H142" s="37" t="n">
        <f aca="false">G142*(1+$H$21)</f>
        <v>8732.306952</v>
      </c>
    </row>
    <row r="143" customFormat="false" ht="60" hidden="false" customHeight="false" outlineLevel="0" collapsed="false">
      <c r="A143" s="33" t="s">
        <v>344</v>
      </c>
      <c r="B143" s="34" t="s">
        <v>345</v>
      </c>
      <c r="C143" s="67" t="s">
        <v>346</v>
      </c>
      <c r="D143" s="36" t="s">
        <v>25</v>
      </c>
      <c r="E143" s="36" t="n">
        <v>8</v>
      </c>
      <c r="F143" s="47" t="n">
        <v>183.6</v>
      </c>
      <c r="G143" s="37" t="n">
        <f aca="false">E143*F143</f>
        <v>1468.8</v>
      </c>
      <c r="H143" s="37" t="n">
        <f aca="false">G143*(1+$H$21)</f>
        <v>1798.83936</v>
      </c>
    </row>
    <row r="144" customFormat="false" ht="15.75" hidden="false" customHeight="false" outlineLevel="0" collapsed="false">
      <c r="A144" s="41" t="s">
        <v>347</v>
      </c>
      <c r="B144" s="51" t="s">
        <v>348</v>
      </c>
      <c r="C144" s="51"/>
      <c r="D144" s="51"/>
      <c r="E144" s="43"/>
      <c r="F144" s="44"/>
      <c r="G144" s="45" t="n">
        <f aca="false">SUM(G145:G148)</f>
        <v>7102.4</v>
      </c>
      <c r="H144" s="45" t="n">
        <f aca="false">G144*(1+$H$21)</f>
        <v>8698.30928</v>
      </c>
    </row>
    <row r="145" customFormat="false" ht="30" hidden="false" customHeight="false" outlineLevel="0" collapsed="false">
      <c r="A145" s="33" t="s">
        <v>349</v>
      </c>
      <c r="B145" s="34" t="s">
        <v>350</v>
      </c>
      <c r="C145" s="72" t="s">
        <v>351</v>
      </c>
      <c r="D145" s="36" t="s">
        <v>25</v>
      </c>
      <c r="E145" s="36" t="n">
        <v>9</v>
      </c>
      <c r="F145" s="50" t="n">
        <v>57.63</v>
      </c>
      <c r="G145" s="37" t="n">
        <f aca="false">E145*F145</f>
        <v>518.67</v>
      </c>
      <c r="H145" s="37" t="n">
        <f aca="false">G145*(1+$H$21)</f>
        <v>635.215149</v>
      </c>
    </row>
    <row r="146" customFormat="false" ht="30" hidden="false" customHeight="false" outlineLevel="0" collapsed="false">
      <c r="A146" s="33" t="s">
        <v>352</v>
      </c>
      <c r="B146" s="34" t="s">
        <v>353</v>
      </c>
      <c r="C146" s="72" t="s">
        <v>354</v>
      </c>
      <c r="D146" s="36" t="s">
        <v>25</v>
      </c>
      <c r="E146" s="36" t="n">
        <v>12</v>
      </c>
      <c r="F146" s="50" t="n">
        <v>93.74</v>
      </c>
      <c r="G146" s="37" t="n">
        <f aca="false">E146*F146</f>
        <v>1124.88</v>
      </c>
      <c r="H146" s="37" t="n">
        <f aca="false">G146*(1+$H$21)</f>
        <v>1377.640536</v>
      </c>
    </row>
    <row r="147" customFormat="false" ht="30" hidden="false" customHeight="false" outlineLevel="0" collapsed="false">
      <c r="A147" s="33" t="s">
        <v>355</v>
      </c>
      <c r="B147" s="34" t="s">
        <v>356</v>
      </c>
      <c r="C147" s="72" t="s">
        <v>357</v>
      </c>
      <c r="D147" s="36" t="s">
        <v>25</v>
      </c>
      <c r="E147" s="36" t="n">
        <v>11</v>
      </c>
      <c r="F147" s="47" t="n">
        <v>126.95</v>
      </c>
      <c r="G147" s="37" t="n">
        <f aca="false">E147*F147</f>
        <v>1396.45</v>
      </c>
      <c r="H147" s="37" t="n">
        <f aca="false">G147*(1+$H$21)</f>
        <v>1710.232315</v>
      </c>
    </row>
    <row r="148" customFormat="false" ht="30" hidden="false" customHeight="false" outlineLevel="0" collapsed="false">
      <c r="A148" s="33" t="s">
        <v>358</v>
      </c>
      <c r="B148" s="34" t="s">
        <v>359</v>
      </c>
      <c r="C148" s="72" t="s">
        <v>360</v>
      </c>
      <c r="D148" s="36" t="s">
        <v>25</v>
      </c>
      <c r="E148" s="36" t="n">
        <v>32</v>
      </c>
      <c r="F148" s="47" t="n">
        <v>126.95</v>
      </c>
      <c r="G148" s="37" t="n">
        <f aca="false">E148*F148</f>
        <v>4062.4</v>
      </c>
      <c r="H148" s="37" t="n">
        <f aca="false">G148*(1+$H$21)</f>
        <v>4975.22128</v>
      </c>
    </row>
    <row r="149" customFormat="false" ht="15.75" hidden="false" customHeight="false" outlineLevel="0" collapsed="false">
      <c r="A149" s="30" t="n">
        <v>9</v>
      </c>
      <c r="B149" s="38" t="s">
        <v>361</v>
      </c>
      <c r="C149" s="38"/>
      <c r="D149" s="38"/>
      <c r="E149" s="39"/>
      <c r="F149" s="40"/>
      <c r="G149" s="32" t="n">
        <f aca="false">SUM(G150:G154)</f>
        <v>15570.368</v>
      </c>
      <c r="H149" s="32" t="n">
        <f aca="false">G149*(1+$H$21)</f>
        <v>19069.0296896</v>
      </c>
    </row>
    <row r="150" customFormat="false" ht="30" hidden="false" customHeight="false" outlineLevel="0" collapsed="false">
      <c r="A150" s="33" t="s">
        <v>362</v>
      </c>
      <c r="B150" s="34" t="s">
        <v>286</v>
      </c>
      <c r="C150" s="73" t="s">
        <v>363</v>
      </c>
      <c r="D150" s="36" t="s">
        <v>43</v>
      </c>
      <c r="E150" s="36" t="n">
        <v>757.55</v>
      </c>
      <c r="F150" s="37" t="n">
        <v>5.07</v>
      </c>
      <c r="G150" s="37" t="n">
        <f aca="false">E150*F150</f>
        <v>3840.7785</v>
      </c>
      <c r="H150" s="37" t="n">
        <f aca="false">G150*(1+$H$21)</f>
        <v>4703.80142895</v>
      </c>
    </row>
    <row r="151" customFormat="false" ht="30" hidden="false" customHeight="false" outlineLevel="0" collapsed="false">
      <c r="A151" s="33" t="s">
        <v>364</v>
      </c>
      <c r="B151" s="34" t="s">
        <v>286</v>
      </c>
      <c r="C151" s="73" t="s">
        <v>365</v>
      </c>
      <c r="D151" s="36" t="s">
        <v>43</v>
      </c>
      <c r="E151" s="36" t="n">
        <v>152.6</v>
      </c>
      <c r="F151" s="37" t="n">
        <v>6.04</v>
      </c>
      <c r="G151" s="37" t="n">
        <f aca="false">E151*F151</f>
        <v>921.704</v>
      </c>
      <c r="H151" s="37" t="n">
        <f aca="false">G151*(1+$H$21)</f>
        <v>1128.8108888</v>
      </c>
    </row>
    <row r="152" customFormat="false" ht="30" hidden="false" customHeight="false" outlineLevel="0" collapsed="false">
      <c r="A152" s="33" t="s">
        <v>366</v>
      </c>
      <c r="B152" s="34" t="s">
        <v>286</v>
      </c>
      <c r="C152" s="73" t="s">
        <v>367</v>
      </c>
      <c r="D152" s="36" t="s">
        <v>43</v>
      </c>
      <c r="E152" s="36" t="n">
        <v>152.6</v>
      </c>
      <c r="F152" s="37" t="n">
        <v>28.92</v>
      </c>
      <c r="G152" s="37" t="n">
        <f aca="false">E152*F152</f>
        <v>4413.192</v>
      </c>
      <c r="H152" s="37" t="n">
        <f aca="false">G152*(1+$H$21)</f>
        <v>5404.8362424</v>
      </c>
    </row>
    <row r="153" customFormat="false" ht="15" hidden="false" customHeight="false" outlineLevel="0" collapsed="false">
      <c r="A153" s="33" t="s">
        <v>368</v>
      </c>
      <c r="B153" s="34" t="s">
        <v>369</v>
      </c>
      <c r="C153" s="72" t="s">
        <v>370</v>
      </c>
      <c r="D153" s="36" t="s">
        <v>43</v>
      </c>
      <c r="E153" s="36" t="n">
        <v>126.45</v>
      </c>
      <c r="F153" s="37" t="n">
        <v>22.03</v>
      </c>
      <c r="G153" s="37" t="n">
        <f aca="false">E153*F153</f>
        <v>2785.6935</v>
      </c>
      <c r="H153" s="37" t="n">
        <f aca="false">G153*(1+$H$21)</f>
        <v>3411.63882945</v>
      </c>
    </row>
    <row r="154" customFormat="false" ht="15" hidden="false" customHeight="false" outlineLevel="0" collapsed="false">
      <c r="A154" s="33" t="s">
        <v>371</v>
      </c>
      <c r="B154" s="48" t="s">
        <v>372</v>
      </c>
      <c r="C154" s="67" t="s">
        <v>373</v>
      </c>
      <c r="D154" s="60" t="s">
        <v>43</v>
      </c>
      <c r="E154" s="60" t="n">
        <v>900</v>
      </c>
      <c r="F154" s="50" t="n">
        <v>4.01</v>
      </c>
      <c r="G154" s="50" t="n">
        <f aca="false">E154*F154</f>
        <v>3609</v>
      </c>
      <c r="H154" s="37" t="n">
        <f aca="false">G154*(1+$H$21)</f>
        <v>4419.9423</v>
      </c>
    </row>
    <row r="155" customFormat="false" ht="15.75" hidden="false" customHeight="false" outlineLevel="0" collapsed="false">
      <c r="A155" s="30" t="n">
        <v>10</v>
      </c>
      <c r="B155" s="38" t="s">
        <v>374</v>
      </c>
      <c r="C155" s="38"/>
      <c r="D155" s="38"/>
      <c r="E155" s="39"/>
      <c r="F155" s="40"/>
      <c r="G155" s="32" t="n">
        <f aca="false">SUM(G156:G157)</f>
        <v>4244.7135</v>
      </c>
      <c r="H155" s="32" t="n">
        <f aca="false">G155*(1+$H$21)</f>
        <v>5198.50062345</v>
      </c>
    </row>
    <row r="156" customFormat="false" ht="15" hidden="false" customHeight="false" outlineLevel="0" collapsed="false">
      <c r="A156" s="33" t="s">
        <v>375</v>
      </c>
      <c r="B156" s="34" t="s">
        <v>376</v>
      </c>
      <c r="C156" s="67" t="s">
        <v>377</v>
      </c>
      <c r="D156" s="36" t="s">
        <v>43</v>
      </c>
      <c r="E156" s="36" t="n">
        <v>1401.99</v>
      </c>
      <c r="F156" s="47" t="n">
        <v>2.65</v>
      </c>
      <c r="G156" s="37" t="n">
        <f aca="false">SUM(E156*F156)</f>
        <v>3715.2735</v>
      </c>
      <c r="H156" s="37" t="n">
        <f aca="false">G156*(1+$H$21)</f>
        <v>4550.09545545</v>
      </c>
    </row>
    <row r="157" customFormat="false" ht="15" hidden="false" customHeight="false" outlineLevel="0" collapsed="false">
      <c r="A157" s="33" t="s">
        <v>378</v>
      </c>
      <c r="B157" s="34" t="s">
        <v>379</v>
      </c>
      <c r="C157" s="72" t="s">
        <v>380</v>
      </c>
      <c r="D157" s="36" t="s">
        <v>61</v>
      </c>
      <c r="E157" s="36" t="n">
        <v>24</v>
      </c>
      <c r="F157" s="47" t="n">
        <v>22.06</v>
      </c>
      <c r="G157" s="37" t="n">
        <f aca="false">SUM(E157*F157)</f>
        <v>529.44</v>
      </c>
      <c r="H157" s="37" t="n">
        <f aca="false">G157*(1+$H$21)</f>
        <v>648.405168</v>
      </c>
    </row>
    <row r="158" customFormat="false" ht="15.75" hidden="false" customHeight="false" outlineLevel="0" collapsed="false">
      <c r="A158" s="30" t="n">
        <v>11</v>
      </c>
      <c r="B158" s="38" t="s">
        <v>381</v>
      </c>
      <c r="C158" s="38"/>
      <c r="D158" s="38"/>
      <c r="E158" s="39"/>
      <c r="F158" s="40"/>
      <c r="G158" s="32" t="n">
        <f aca="false">SUM(G159:G159)</f>
        <v>8521.276</v>
      </c>
      <c r="H158" s="32" t="n">
        <f aca="false">G158*(1+$H$21)</f>
        <v>10436.0067172</v>
      </c>
    </row>
    <row r="159" customFormat="false" ht="30" hidden="false" customHeight="false" outlineLevel="0" collapsed="false">
      <c r="A159" s="33" t="s">
        <v>382</v>
      </c>
      <c r="B159" s="34" t="s">
        <v>286</v>
      </c>
      <c r="C159" s="72" t="s">
        <v>383</v>
      </c>
      <c r="D159" s="36" t="s">
        <v>384</v>
      </c>
      <c r="E159" s="36" t="n">
        <f aca="false">115*2+173*2+246*2+2*241.4+170.2*2+214*2+247*2+277*2+2*227</f>
        <v>3821.2</v>
      </c>
      <c r="F159" s="74" t="n">
        <v>2.23</v>
      </c>
      <c r="G159" s="37" t="n">
        <f aca="false">SUM(E159*F159)</f>
        <v>8521.276</v>
      </c>
      <c r="H159" s="37" t="n">
        <f aca="false">G159*(1+$H$21)</f>
        <v>10436.0067172</v>
      </c>
    </row>
    <row r="160" customFormat="false" ht="15.75" hidden="false" customHeight="false" outlineLevel="0" collapsed="false">
      <c r="A160" s="75"/>
      <c r="B160" s="76"/>
      <c r="C160" s="77"/>
      <c r="D160" s="26" t="s">
        <v>385</v>
      </c>
      <c r="E160" s="26"/>
      <c r="F160" s="26"/>
      <c r="G160" s="26"/>
      <c r="H160" s="78" t="n">
        <f aca="false">SUM(G158,G155,G149,G138,G110,G106,G78,G64,G54,G26,G24)</f>
        <v>364599.4091</v>
      </c>
      <c r="I160" s="79"/>
    </row>
    <row r="161" customFormat="false" ht="15.75" hidden="false" customHeight="false" outlineLevel="0" collapsed="false">
      <c r="A161" s="80" t="s">
        <v>30</v>
      </c>
      <c r="B161" s="80"/>
      <c r="C161" s="80"/>
      <c r="D161" s="80"/>
      <c r="E161" s="80"/>
      <c r="F161" s="80"/>
      <c r="G161" s="80"/>
      <c r="H161" s="29" t="n">
        <f aca="false">SUM(H158,H155,H149,H138,H110,H106,H78,H64,H54,H26,H24)</f>
        <v>446524.89632477</v>
      </c>
    </row>
    <row r="162" customFormat="false" ht="15.75" hidden="false" customHeight="false" outlineLevel="0" collapsed="false">
      <c r="A162" s="81"/>
      <c r="B162" s="82"/>
      <c r="C162" s="82"/>
      <c r="D162" s="82"/>
      <c r="E162" s="82"/>
      <c r="F162" s="82"/>
      <c r="G162" s="82"/>
      <c r="H162" s="82"/>
    </row>
  </sheetData>
  <mergeCells count="25">
    <mergeCell ref="A1:H1"/>
    <mergeCell ref="B2:C2"/>
    <mergeCell ref="B3:C3"/>
    <mergeCell ref="B4:C4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A21:G21"/>
    <mergeCell ref="B24:F24"/>
    <mergeCell ref="B111:F111"/>
    <mergeCell ref="D160:G160"/>
    <mergeCell ref="A161:G161"/>
    <mergeCell ref="B162:H162"/>
  </mergeCells>
  <hyperlinks>
    <hyperlink ref="B132" r:id="rId1" display="04324/ORSE"/>
    <hyperlink ref="B134" r:id="rId2" display="04387/ORSE"/>
    <hyperlink ref="B136" r:id="rId3" display="07609/ORSE"/>
  </hyperlinks>
  <printOptions headings="false" gridLines="false" gridLinesSet="true" horizontalCentered="true" verticalCentered="false"/>
  <pageMargins left="0.7875" right="0.7875" top="1.53541666666667" bottom="0.66875" header="0.236111111111111" footer="0.19652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&amp;C&amp;16SUPERVISÃO DE OBRAS E REFORMAS - SOR
ANEXO II - TERMO DE REFERÊNCIA</oddHeader>
    <oddFooter>&amp;C&amp;16Rua da Estrela, 421, Centro Histórico- Praia Grande – São Luís/MA – CEP 65010-200
Telefone: (98) 3221-1343 – Fax (98) 3231-0958
Página &amp;P de &amp;N</oddFooter>
  </headerFooter>
  <rowBreaks count="2" manualBreakCount="2">
    <brk id="77" man="true" max="16383" min="0"/>
    <brk id="143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LibreOffice/7.3.1.3$Windows_X86_64 LibreOffice_project/a69ca51ded25f3eefd52d7bf9a5fad8c90b87951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2016-06-27T12:42:06Z</dcterms:created>
  <dc:creator>César Rafael Pimentel Esser</dc:creator>
  <dc:description/>
  <dc:language>pt-BR</dc:language>
  <cp:lastModifiedBy/>
  <cp:lastPrinted>2022-03-25T12:02:37Z</cp:lastPrinted>
  <dcterms:modified xsi:type="dcterms:W3CDTF">2022-04-19T14:52:07Z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